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drawings/drawing1.xml" ContentType="application/vnd.openxmlformats-officedocument.drawing+xml"/>
  <Override PartName="/xl/media/image1.jpeg" ContentType="image/jpeg"/>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media/image2.jpeg" ContentType="image/jpeg"/>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Checklist" sheetId="2" r:id="rId5"/>
    <sheet name="Project Information" sheetId="3" r:id="rId6"/>
    <sheet name="Project Information - Drawings" sheetId="4" r:id="rId7"/>
    <sheet name="Sheet 1" sheetId="5" r:id="rId8"/>
    <sheet name="Sheet 2" sheetId="6" r:id="rId9"/>
    <sheet name="Dev Cash Flow" sheetId="7" r:id="rId10"/>
    <sheet name="Dev Cost Breakdown" sheetId="8" r:id="rId11"/>
    <sheet name="Professional Fees" sheetId="9" r:id="rId12"/>
    <sheet name="Professional Fees - Drawings" sheetId="10" r:id="rId13"/>
    <sheet name="Social Rent" sheetId="11" r:id="rId14"/>
    <sheet name="Social Rent - Drawings" sheetId="12" r:id="rId15"/>
    <sheet name="Affordable Rent" sheetId="13" r:id="rId16"/>
    <sheet name="Shared Ownership" sheetId="14" r:id="rId17"/>
    <sheet name="Shared Ownership - Drawings" sheetId="15" r:id="rId18"/>
    <sheet name="Market Rent" sheetId="16" r:id="rId19"/>
    <sheet name="Market Rent - Drawings" sheetId="17" r:id="rId20"/>
    <sheet name="Limited Equity" sheetId="18" r:id="rId21"/>
    <sheet name="Limited Equity - Drawings" sheetId="19" r:id="rId22"/>
    <sheet name="OutrightSale" sheetId="20" r:id="rId23"/>
    <sheet name="OutrightSale - Drawings" sheetId="21" r:id="rId24"/>
    <sheet name="Commercial" sheetId="22" r:id="rId25"/>
    <sheet name="Commercial - Drawings" sheetId="23" r:id="rId26"/>
    <sheet name="KEY KPI's" sheetId="24" r:id="rId27"/>
    <sheet name="Summary" sheetId="25" r:id="rId28"/>
    <sheet name="Cash Flow" sheetId="26" r:id="rId29"/>
    <sheet name="Cash Flow - Drawings" sheetId="27" r:id="rId30"/>
    <sheet name="Sheet 3" sheetId="28" r:id="rId31"/>
    <sheet name="Balance Sheet" sheetId="29" r:id="rId32"/>
    <sheet name="Balance Sheet - Drawings" sheetId="30" r:id="rId33"/>
    <sheet name="I&amp;E" sheetId="31" r:id="rId34"/>
    <sheet name="Secured Funding" sheetId="32" r:id="rId35"/>
    <sheet name="Graphs" sheetId="33" r:id="rId36"/>
    <sheet name="Master Cost Page" sheetId="34" r:id="rId37"/>
    <sheet name="Community Bond" sheetId="35" r:id="rId38"/>
  </sheets>
</workbook>
</file>

<file path=xl/comments1.xml><?xml version="1.0" encoding="utf-8"?>
<comments xmlns="http://schemas.openxmlformats.org/spreadsheetml/2006/main">
  <authors>
    <author>Information Systems</author>
    <author>Andrew Briggs</author>
  </authors>
  <commentList>
    <comment ref="K11" authorId="0">
      <text>
        <r>
          <rPr>
            <sz val="11"/>
            <color indexed="8"/>
            <rFont val="Helvetica"/>
          </rPr>
          <t xml:space="preserve">Information Systems:
</t>
        </r>
      </text>
    </comment>
    <comment ref="F24" authorId="1">
      <text>
        <r>
          <rPr>
            <sz val="11"/>
            <color indexed="8"/>
            <rFont val="Helvetica"/>
          </rPr>
          <t xml:space="preserve">Andrew Briggs:
Developer:
Protected cells - cannot be overwritten
</t>
        </r>
      </text>
    </comment>
    <comment ref="F25" authorId="1">
      <text>
        <r>
          <rPr>
            <sz val="11"/>
            <color indexed="8"/>
            <rFont val="Helvetica"/>
          </rPr>
          <t>Andrew Briggs:
Developer:
Protected cells - cannot be overwritten</t>
        </r>
      </text>
    </comment>
  </commentList>
</comments>
</file>

<file path=xl/sharedStrings.xml><?xml version="1.0" encoding="utf-8"?>
<sst xmlns="http://schemas.openxmlformats.org/spreadsheetml/2006/main" uniqueCount="1142">
  <si>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</si>
  <si>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</si>
  <si>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</si>
  <si>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</si>
  <si>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Checklist</t>
  </si>
  <si>
    <t>Table 1</t>
  </si>
  <si>
    <t>Appraisal Tool Completion Checklist</t>
  </si>
  <si>
    <t>1.</t>
  </si>
  <si>
    <t xml:space="preserve">All compulsory fields on Project Information tab completed </t>
  </si>
  <si>
    <t>Yes</t>
  </si>
  <si>
    <t>No</t>
  </si>
  <si>
    <t>2.</t>
  </si>
  <si>
    <t>Check development period interest rate (cell H25 on Project Information tab)</t>
  </si>
  <si>
    <t>3.</t>
  </si>
  <si>
    <t>Check long term loan interest rate (cell H26 on Project Information tab)</t>
  </si>
  <si>
    <t>4.</t>
  </si>
  <si>
    <t>Development Cash flow completed</t>
  </si>
  <si>
    <t>N/A</t>
  </si>
  <si>
    <t>5.</t>
  </si>
  <si>
    <t>Developemnt cost breakdown tab completed</t>
  </si>
  <si>
    <t>6.</t>
  </si>
  <si>
    <t>Professional Fee tab completed if being used</t>
  </si>
  <si>
    <t>7.</t>
  </si>
  <si>
    <t>Social Rent tab completed</t>
  </si>
  <si>
    <t>8.</t>
  </si>
  <si>
    <t>Affordable Rent tab completed</t>
  </si>
  <si>
    <t>Shared Ownership tab completed</t>
  </si>
  <si>
    <t>9.</t>
  </si>
  <si>
    <t>Market Rent tab completed</t>
  </si>
  <si>
    <t>10.</t>
  </si>
  <si>
    <t>Shared Equity tab completed</t>
  </si>
  <si>
    <t>11.</t>
  </si>
  <si>
    <t>Outright Sale tab completed</t>
  </si>
  <si>
    <t>12.</t>
  </si>
  <si>
    <t>Commercial tab completed</t>
  </si>
  <si>
    <t>13.</t>
  </si>
  <si>
    <t xml:space="preserve">Ensure number of units in Project Information agrees to individual tenure tabs </t>
  </si>
  <si>
    <t>14.</t>
  </si>
  <si>
    <t>Warnings in table have been investigated</t>
  </si>
  <si>
    <t>Spreadsheet Checks</t>
  </si>
  <si>
    <t>Warnings will appear in the following table if applicable</t>
  </si>
  <si>
    <t>Description if warning</t>
  </si>
  <si>
    <t>Tab to check if warning appears</t>
  </si>
  <si>
    <t xml:space="preserve"> </t>
  </si>
  <si>
    <t>Project Information</t>
  </si>
  <si>
    <t>Dev Cash Flow</t>
  </si>
  <si>
    <t>Social Rent</t>
  </si>
  <si>
    <t>HomeBuy</t>
  </si>
  <si>
    <t>Shared Equity</t>
  </si>
  <si>
    <t>Outright Sale</t>
  </si>
  <si>
    <t>Appraisal Tool - Project Information</t>
  </si>
  <si>
    <t>Homes England Regions</t>
  </si>
  <si>
    <t>Item</t>
  </si>
  <si>
    <t>Project Type</t>
  </si>
  <si>
    <t>Rent/Programme Year</t>
  </si>
  <si>
    <t>Project Build/Acquisition</t>
  </si>
  <si>
    <t>KEY</t>
  </si>
  <si>
    <t>East of England</t>
  </si>
  <si>
    <t>Manual Input (If applicable)</t>
  </si>
  <si>
    <t>East Midlands</t>
  </si>
  <si>
    <t>Formula with Manual Input Capability if needed</t>
  </si>
  <si>
    <t>London</t>
  </si>
  <si>
    <t xml:space="preserve">Protected cells </t>
  </si>
  <si>
    <t>North East</t>
  </si>
  <si>
    <t>** denotes compulsory field</t>
  </si>
  <si>
    <t>North West</t>
  </si>
  <si>
    <t>Aberdeen City</t>
  </si>
  <si>
    <t>South East</t>
  </si>
  <si>
    <t>Aberdeenshire</t>
  </si>
  <si>
    <t>Project Details</t>
  </si>
  <si>
    <t>Other Information</t>
  </si>
  <si>
    <t>South West</t>
  </si>
  <si>
    <t>Adur</t>
  </si>
  <si>
    <t>2017/18</t>
  </si>
  <si>
    <t>Design &amp; Build</t>
  </si>
  <si>
    <t>YES</t>
  </si>
  <si>
    <t>Project Name</t>
  </si>
  <si>
    <t>Hereford Scheme</t>
  </si>
  <si>
    <t>**</t>
  </si>
  <si>
    <t>Local Authority</t>
  </si>
  <si>
    <t>West Midlands</t>
  </si>
  <si>
    <t>Allerdale</t>
  </si>
  <si>
    <t>Affordable Rent</t>
  </si>
  <si>
    <t>2018/19</t>
  </si>
  <si>
    <t>Off the Shelf</t>
  </si>
  <si>
    <t>NO</t>
  </si>
  <si>
    <t>Project Manager</t>
  </si>
  <si>
    <t>Yorkshire &amp; Humber</t>
  </si>
  <si>
    <t>Alnwick</t>
  </si>
  <si>
    <t>Shared Ownership</t>
  </si>
  <si>
    <t>2019/20</t>
  </si>
  <si>
    <t>Traditional</t>
  </si>
  <si>
    <t>Homes England Region</t>
  </si>
  <si>
    <t>Amber Valley</t>
  </si>
  <si>
    <t>Market Rent</t>
  </si>
  <si>
    <t>2020/21</t>
  </si>
  <si>
    <t>Procurement Type</t>
  </si>
  <si>
    <t>Angus</t>
  </si>
  <si>
    <t>Limited Equity</t>
  </si>
  <si>
    <t>2021/22</t>
  </si>
  <si>
    <t>Argyll and Bute</t>
  </si>
  <si>
    <t>2022/23</t>
  </si>
  <si>
    <t>Project Mix</t>
  </si>
  <si>
    <t>No of Units</t>
  </si>
  <si>
    <t>Arun</t>
  </si>
  <si>
    <t>Commercial</t>
  </si>
  <si>
    <t>2023/24</t>
  </si>
  <si>
    <t>Tenure Type - 1</t>
  </si>
  <si>
    <t>Affordable rent</t>
  </si>
  <si>
    <t>Rent Year</t>
  </si>
  <si>
    <t>Ashfield</t>
  </si>
  <si>
    <t>2024/25</t>
  </si>
  <si>
    <t>Tenure Type - 2</t>
  </si>
  <si>
    <t>Outright sale</t>
  </si>
  <si>
    <t>Ashford</t>
  </si>
  <si>
    <t>2025/26</t>
  </si>
  <si>
    <t>Tenure Type - 3</t>
  </si>
  <si>
    <t>Homes England Allocation Year (If applicable)</t>
  </si>
  <si>
    <t>Aylesbury Vale</t>
  </si>
  <si>
    <t>2026/27</t>
  </si>
  <si>
    <t>Tenure Type - 4</t>
  </si>
  <si>
    <t>Babergh</t>
  </si>
  <si>
    <t>2027/28</t>
  </si>
  <si>
    <t>Tenure Type - 5</t>
  </si>
  <si>
    <t>Date Last Updated</t>
  </si>
  <si>
    <t>Barking and Dagenham</t>
  </si>
  <si>
    <t>2028/29</t>
  </si>
  <si>
    <t>Tenure Type - 6</t>
  </si>
  <si>
    <t>Barnet</t>
  </si>
  <si>
    <t>2029/30</t>
  </si>
  <si>
    <t>Tenure Type - 7</t>
  </si>
  <si>
    <t>Using Professional Fee Tab ?</t>
  </si>
  <si>
    <t>Barnsley</t>
  </si>
  <si>
    <t>2030/31</t>
  </si>
  <si>
    <t>Professional Fee % of Build Costs (If not using tab)</t>
  </si>
  <si>
    <t>Barrow-in-Furness</t>
  </si>
  <si>
    <t>2031/32</t>
  </si>
  <si>
    <t>Cash Flow Dates</t>
  </si>
  <si>
    <t>Basildon</t>
  </si>
  <si>
    <t>2032/33</t>
  </si>
  <si>
    <t>Appraisal Start (Protected cell cannot be overwritten)</t>
  </si>
  <si>
    <t>Assumptions</t>
  </si>
  <si>
    <t>Basingstoke and Deane</t>
  </si>
  <si>
    <t>2033/34</t>
  </si>
  <si>
    <r>
      <rPr>
        <sz val="12"/>
        <color indexed="8"/>
        <rFont val="Arial"/>
      </rPr>
      <t xml:space="preserve">Purchase Completion </t>
    </r>
    <r>
      <rPr>
        <sz val="8"/>
        <color indexed="8"/>
        <rFont val="Arial"/>
      </rPr>
      <t>(Land Acqusition)</t>
    </r>
  </si>
  <si>
    <t>Interest Rate Dev Loan</t>
  </si>
  <si>
    <t>Bassetlaw</t>
  </si>
  <si>
    <t>2034/35</t>
  </si>
  <si>
    <r>
      <rPr>
        <sz val="12"/>
        <color indexed="8"/>
        <rFont val="Arial"/>
      </rPr>
      <t>Start on Sit</t>
    </r>
  </si>
  <si>
    <t>Interest Rate Long Term Loan</t>
  </si>
  <si>
    <t>Bath and North East Somerset</t>
  </si>
  <si>
    <t>2035/36</t>
  </si>
  <si>
    <t>Practical Completion</t>
  </si>
  <si>
    <t>Length of Long Term Loan Years</t>
  </si>
  <si>
    <t>Bedford</t>
  </si>
  <si>
    <t>2036/37</t>
  </si>
  <si>
    <t>Discount rate</t>
  </si>
  <si>
    <t>Berwick upon Tweed</t>
  </si>
  <si>
    <t>2037/38</t>
  </si>
  <si>
    <t>Last Sales Completion</t>
  </si>
  <si>
    <t>Bexley</t>
  </si>
  <si>
    <t>2038/39</t>
  </si>
  <si>
    <t>General Needs</t>
  </si>
  <si>
    <t>Birmingham</t>
  </si>
  <si>
    <t>2039/40</t>
  </si>
  <si>
    <t>Management Costs Per Unit</t>
  </si>
  <si>
    <t>Blaby</t>
  </si>
  <si>
    <t>2040/41</t>
  </si>
  <si>
    <t>Contract Term - weeks</t>
  </si>
  <si>
    <t>Maintenance Costs Per Unit</t>
  </si>
  <si>
    <t>Blackburn</t>
  </si>
  <si>
    <t>2041/42</t>
  </si>
  <si>
    <t>Major Repairs Provision %age</t>
  </si>
  <si>
    <t>Blackpool</t>
  </si>
  <si>
    <t>GRANT</t>
  </si>
  <si>
    <t>Voids</t>
  </si>
  <si>
    <t>Blyth Valley</t>
  </si>
  <si>
    <t>Source</t>
  </si>
  <si>
    <t>Amount</t>
  </si>
  <si>
    <t>Mth/Yr Rec'd</t>
  </si>
  <si>
    <t>Bolsover</t>
  </si>
  <si>
    <t>HCA-Social/Affordable Rent</t>
  </si>
  <si>
    <t>Bolton</t>
  </si>
  <si>
    <t>HCA -Shared Ownership /Shared Equity</t>
  </si>
  <si>
    <t>Equity Sold</t>
  </si>
  <si>
    <t>Boston</t>
  </si>
  <si>
    <t>Rent Cap</t>
  </si>
  <si>
    <t>Bournemouth</t>
  </si>
  <si>
    <t xml:space="preserve">Other </t>
  </si>
  <si>
    <t>Bracknell Forest</t>
  </si>
  <si>
    <t>Inflation</t>
  </si>
  <si>
    <t>Bradford</t>
  </si>
  <si>
    <t>TOTAL</t>
  </si>
  <si>
    <t>Social Rents inflation to 2019/20</t>
  </si>
  <si>
    <t>Braintree</t>
  </si>
  <si>
    <t>Rents (CPI plus 1%)</t>
  </si>
  <si>
    <t>Breckland</t>
  </si>
  <si>
    <t>Management Costs</t>
  </si>
  <si>
    <t>Brent</t>
  </si>
  <si>
    <t>Maintenance Costs</t>
  </si>
  <si>
    <t>Brentwood</t>
  </si>
  <si>
    <t>Bridgnorth</t>
  </si>
  <si>
    <t>Commercial Property Assumptions</t>
  </si>
  <si>
    <t>Community Bond Assumptions</t>
  </si>
  <si>
    <t>Brighton and Hove</t>
  </si>
  <si>
    <t>Management Costs per unit</t>
  </si>
  <si>
    <t>Bristol</t>
  </si>
  <si>
    <t>Maintenance Costs per unit</t>
  </si>
  <si>
    <t>Month/Year Rec'd</t>
  </si>
  <si>
    <t>Broadland</t>
  </si>
  <si>
    <t>Voids Rate</t>
  </si>
  <si>
    <t>Interest Rate</t>
  </si>
  <si>
    <t>Bromley</t>
  </si>
  <si>
    <t>Rental Inflation</t>
  </si>
  <si>
    <t>Bullet Repayment Term/Capital repayment holiday (Yrs)</t>
  </si>
  <si>
    <t>Bromsgrove</t>
  </si>
  <si>
    <t>Management Costs Inflation</t>
  </si>
  <si>
    <t>Roll up Interest</t>
  </si>
  <si>
    <t>Broxbourne</t>
  </si>
  <si>
    <t>Maintenance Costs Inflation</t>
  </si>
  <si>
    <t>Bullet Repayment</t>
  </si>
  <si>
    <t>Broxtowe</t>
  </si>
  <si>
    <t>Repayment Term (Yrs)</t>
  </si>
  <si>
    <t>Burnley</t>
  </si>
  <si>
    <t>Calderdale</t>
  </si>
  <si>
    <t>Cambridge</t>
  </si>
  <si>
    <t>Camden</t>
  </si>
  <si>
    <t>Cannock Chase</t>
  </si>
  <si>
    <t>Canterbury</t>
  </si>
  <si>
    <t>Caradon</t>
  </si>
  <si>
    <t>Carlisle</t>
  </si>
  <si>
    <t>Carrick</t>
  </si>
  <si>
    <t>Castle Morpeth</t>
  </si>
  <si>
    <t>Castle Point</t>
  </si>
  <si>
    <t>Charnwood</t>
  </si>
  <si>
    <t>Chelmsford</t>
  </si>
  <si>
    <t>Cheltenham</t>
  </si>
  <si>
    <t>Cherwell</t>
  </si>
  <si>
    <t>Chester</t>
  </si>
  <si>
    <t>Chesterfield</t>
  </si>
  <si>
    <t>Chester-le-Street</t>
  </si>
  <si>
    <t>Chichester</t>
  </si>
  <si>
    <t>Chiltern</t>
  </si>
  <si>
    <t>Chorley</t>
  </si>
  <si>
    <t>Christchurch</t>
  </si>
  <si>
    <t>City of Edinburgh</t>
  </si>
  <si>
    <t>City of Glasgow</t>
  </si>
  <si>
    <t>City of London</t>
  </si>
  <si>
    <t>Clackmannanshire</t>
  </si>
  <si>
    <t>Colchester</t>
  </si>
  <si>
    <t>Congleton</t>
  </si>
  <si>
    <t>Copeland</t>
  </si>
  <si>
    <t>Corby</t>
  </si>
  <si>
    <t>Cotswold</t>
  </si>
  <si>
    <t>Coventry</t>
  </si>
  <si>
    <t>Craven</t>
  </si>
  <si>
    <t>Crawley</t>
  </si>
  <si>
    <t>Crewe and Nantwich</t>
  </si>
  <si>
    <t>Croydon</t>
  </si>
  <si>
    <t>Dacorum</t>
  </si>
  <si>
    <t>Darlington</t>
  </si>
  <si>
    <t>Dartford</t>
  </si>
  <si>
    <t>Daventry</t>
  </si>
  <si>
    <t>Derby</t>
  </si>
  <si>
    <t>Derbyshire Dales</t>
  </si>
  <si>
    <t>Derwentside</t>
  </si>
  <si>
    <t>Doncaster</t>
  </si>
  <si>
    <t>Dover</t>
  </si>
  <si>
    <t>Dudley</t>
  </si>
  <si>
    <t>Dumfries and Galloway</t>
  </si>
  <si>
    <t>Dundee City</t>
  </si>
  <si>
    <t>Durham</t>
  </si>
  <si>
    <t>Ealing</t>
  </si>
  <si>
    <t>Easington</t>
  </si>
  <si>
    <t>East Ayrshire</t>
  </si>
  <si>
    <t>East Cambridgeshire</t>
  </si>
  <si>
    <t>East Devon</t>
  </si>
  <si>
    <t>East Dorset</t>
  </si>
  <si>
    <t>East Dunbartonshire</t>
  </si>
  <si>
    <t>East Hampshire</t>
  </si>
  <si>
    <t>East Hertfordshire</t>
  </si>
  <si>
    <t>East Lindsey</t>
  </si>
  <si>
    <t>East Lothian</t>
  </si>
  <si>
    <t>East Northamptonshire</t>
  </si>
  <si>
    <t>East Renfrewshire</t>
  </si>
  <si>
    <t>East Riding</t>
  </si>
  <si>
    <t>East Staffordshire</t>
  </si>
  <si>
    <t>Eastbourne</t>
  </si>
  <si>
    <t>Eastleigh</t>
  </si>
  <si>
    <t>Eden</t>
  </si>
  <si>
    <t>Ellesmere Port and Neston</t>
  </si>
  <si>
    <t>Elmbridge</t>
  </si>
  <si>
    <t>Enfield</t>
  </si>
  <si>
    <t>Epping Forest</t>
  </si>
  <si>
    <t>Epsom and Ewell</t>
  </si>
  <si>
    <t>Erewash</t>
  </si>
  <si>
    <t>Exeter</t>
  </si>
  <si>
    <t>Falkirk</t>
  </si>
  <si>
    <t>Fareham</t>
  </si>
  <si>
    <t>Fenland</t>
  </si>
  <si>
    <t>Fife</t>
  </si>
  <si>
    <t>Forest Heath</t>
  </si>
  <si>
    <t>Forest of Dean</t>
  </si>
  <si>
    <t>Fylde</t>
  </si>
  <si>
    <t>Gateshead</t>
  </si>
  <si>
    <t>Gedling</t>
  </si>
  <si>
    <t>Glasgow City</t>
  </si>
  <si>
    <t>Gloucester</t>
  </si>
  <si>
    <t>Gosport</t>
  </si>
  <si>
    <t>Gravesham</t>
  </si>
  <si>
    <t>Great Yarmouth</t>
  </si>
  <si>
    <t>Greenwich</t>
  </si>
  <si>
    <t>Guildford</t>
  </si>
  <si>
    <t>Hackney</t>
  </si>
  <si>
    <t>Halton</t>
  </si>
  <si>
    <t>Hambleton</t>
  </si>
  <si>
    <t>Hammersmith</t>
  </si>
  <si>
    <t>Harborough</t>
  </si>
  <si>
    <t>Haringey</t>
  </si>
  <si>
    <t>Harlow</t>
  </si>
  <si>
    <t>Harrogate</t>
  </si>
  <si>
    <t>Harrow</t>
  </si>
  <si>
    <t>Hart</t>
  </si>
  <si>
    <t>Hartlepool</t>
  </si>
  <si>
    <t>Hastings</t>
  </si>
  <si>
    <t>Havant</t>
  </si>
  <si>
    <t>Havering</t>
  </si>
  <si>
    <t>Herefordshire</t>
  </si>
  <si>
    <t>Hertsmere</t>
  </si>
  <si>
    <t>High Peak</t>
  </si>
  <si>
    <t>Highland</t>
  </si>
  <si>
    <t>Hillingdon</t>
  </si>
  <si>
    <t>Hinckley and Bosworth</t>
  </si>
  <si>
    <t>Horsham</t>
  </si>
  <si>
    <t>Hounslow</t>
  </si>
  <si>
    <t>Huntingdon</t>
  </si>
  <si>
    <t>Hyndburn</t>
  </si>
  <si>
    <t>Inverclyde</t>
  </si>
  <si>
    <t>Ipswich</t>
  </si>
  <si>
    <t>Isle of Wight</t>
  </si>
  <si>
    <t>Isles of Scilly</t>
  </si>
  <si>
    <t>Islington</t>
  </si>
  <si>
    <t>Kennet</t>
  </si>
  <si>
    <t>Kensington and Chelsea</t>
  </si>
  <si>
    <t>Kerrier</t>
  </si>
  <si>
    <t>Kettering</t>
  </si>
  <si>
    <t>Kings Lynn and West Norfolk</t>
  </si>
  <si>
    <t>Kingston Upon Hull</t>
  </si>
  <si>
    <t>Kingston Upon Thames</t>
  </si>
  <si>
    <t>Kirklees</t>
  </si>
  <si>
    <t>Knowsley</t>
  </si>
  <si>
    <t>Lambeth</t>
  </si>
  <si>
    <t>Lancaster</t>
  </si>
  <si>
    <t>Leeds</t>
  </si>
  <si>
    <t>Leicester</t>
  </si>
  <si>
    <t>Lewes</t>
  </si>
  <si>
    <t>Lewisham</t>
  </si>
  <si>
    <t>Lichfield</t>
  </si>
  <si>
    <t>Lincoln</t>
  </si>
  <si>
    <t>Liverpool</t>
  </si>
  <si>
    <t>Luton</t>
  </si>
  <si>
    <t>Macclesfield</t>
  </si>
  <si>
    <t>Maidstone</t>
  </si>
  <si>
    <t>Maldon</t>
  </si>
  <si>
    <t>Malvern Hills District</t>
  </si>
  <si>
    <t>Manchester</t>
  </si>
  <si>
    <t>Mansfield</t>
  </si>
  <si>
    <t>Melton</t>
  </si>
  <si>
    <t>Mendip</t>
  </si>
  <si>
    <t>Merton</t>
  </si>
  <si>
    <t>Mid Bedfordshire</t>
  </si>
  <si>
    <t>Mid Devon</t>
  </si>
  <si>
    <t>Mid Suffolk</t>
  </si>
  <si>
    <t>Mid Sussex</t>
  </si>
  <si>
    <t>Middlesbrough</t>
  </si>
  <si>
    <t>Midlothian</t>
  </si>
  <si>
    <t>Milton Keynes</t>
  </si>
  <si>
    <t>Mole Valley</t>
  </si>
  <si>
    <t>Moray</t>
  </si>
  <si>
    <t>New Forest</t>
  </si>
  <si>
    <t>Newark</t>
  </si>
  <si>
    <t>Newcastle upon Tyne</t>
  </si>
  <si>
    <t>Newcastle under Lyme</t>
  </si>
  <si>
    <t>Newham</t>
  </si>
  <si>
    <t>North Ayrshire</t>
  </si>
  <si>
    <t>North Cornwall</t>
  </si>
  <si>
    <t>North Devon</t>
  </si>
  <si>
    <t>North Dorset</t>
  </si>
  <si>
    <t>North East Derbyshire</t>
  </si>
  <si>
    <t>North East Lincolnshire</t>
  </si>
  <si>
    <t>North Hertfordshire</t>
  </si>
  <si>
    <t>North Kesteven</t>
  </si>
  <si>
    <t>North Lanarkshire</t>
  </si>
  <si>
    <t>North Lincolnshire</t>
  </si>
  <si>
    <t>North Norfolk</t>
  </si>
  <si>
    <t>North Shropshire</t>
  </si>
  <si>
    <t>North Tyneside</t>
  </si>
  <si>
    <t>North West Leicestershire</t>
  </si>
  <si>
    <t>North Warwickshire</t>
  </si>
  <si>
    <t>North West Somerset</t>
  </si>
  <si>
    <t>North Wiltshire</t>
  </si>
  <si>
    <t>Northampton</t>
  </si>
  <si>
    <t>Norwich</t>
  </si>
  <si>
    <t>Nottingham</t>
  </si>
  <si>
    <t>Nuneaton and Bedworth</t>
  </si>
  <si>
    <t>Oadby and Wigston</t>
  </si>
  <si>
    <t>Oldham</t>
  </si>
  <si>
    <t>Orkney Islands</t>
  </si>
  <si>
    <t>Oswestry</t>
  </si>
  <si>
    <t>Oxford</t>
  </si>
  <si>
    <t>Pendle</t>
  </si>
  <si>
    <t>Penwith</t>
  </si>
  <si>
    <t>Pert and Kinross</t>
  </si>
  <si>
    <t>Peterborough</t>
  </si>
  <si>
    <t>Plymouth</t>
  </si>
  <si>
    <t>Poole</t>
  </si>
  <si>
    <t>Portsmouth</t>
  </si>
  <si>
    <t>Preston</t>
  </si>
  <si>
    <t>Purbeck</t>
  </si>
  <si>
    <t>Reading</t>
  </si>
  <si>
    <t>Redbridge</t>
  </si>
  <si>
    <t>Redcar and Cleveland</t>
  </si>
  <si>
    <t>Redditch</t>
  </si>
  <si>
    <t>Reigate and Banstead</t>
  </si>
  <si>
    <t>Renfrewshire</t>
  </si>
  <si>
    <t>Restormel</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</si>
  <si>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</si>
  <si>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</si>
  <si>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</si>
  <si>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</si>
  <si>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</si>
  <si>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</si>
  <si>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</si>
  <si>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</si>
  <si>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</si>
  <si>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</si>
  <si>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</si>
  <si>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</si>
  <si>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</si>
  <si>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</si>
  <si>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</si>
  <si>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Salisbury</t>
  </si>
  <si>
    <t>Sandwell</t>
  </si>
  <si>
    <t>Scarborough</t>
  </si>
  <si>
    <t>Scottish Borders</t>
  </si>
  <si>
    <t>Sedgefield</t>
  </si>
  <si>
    <t>Sedgemoor</t>
  </si>
  <si>
    <t>Sefton</t>
  </si>
  <si>
    <t>Selby</t>
  </si>
  <si>
    <t>Sevenoaks</t>
  </si>
  <si>
    <t>Sheffield</t>
  </si>
  <si>
    <t>Shepway</t>
  </si>
  <si>
    <t>Shetland Islands</t>
  </si>
  <si>
    <t>Shrewsbury and Atcham</t>
  </si>
  <si>
    <t>Slough</t>
  </si>
  <si>
    <t>Solihull</t>
  </si>
  <si>
    <t>South Ayrshire</t>
  </si>
  <si>
    <t>South Bedfordshire</t>
  </si>
  <si>
    <t>South Bucks</t>
  </si>
  <si>
    <t>South Cambridgeshire</t>
  </si>
  <si>
    <t>South Derbyshire</t>
  </si>
  <si>
    <t>South Gloucestershire</t>
  </si>
  <si>
    <t>South Hams</t>
  </si>
  <si>
    <t>South Holland</t>
  </si>
  <si>
    <t>South Kesteven</t>
  </si>
  <si>
    <t>South Lakeland</t>
  </si>
  <si>
    <t>South Lanarkshire</t>
  </si>
  <si>
    <t>South Norfolk</t>
  </si>
  <si>
    <t>South Northamptonshire</t>
  </si>
  <si>
    <t>South Oxfordshire</t>
  </si>
  <si>
    <t>South Ribble</t>
  </si>
  <si>
    <t>South Shropshire</t>
  </si>
  <si>
    <t>South Somerset</t>
  </si>
  <si>
    <t>South Staffordshire</t>
  </si>
  <si>
    <t>South Tyneside</t>
  </si>
  <si>
    <t>Southampton</t>
  </si>
  <si>
    <t>Southend-on-Sea</t>
  </si>
  <si>
    <t>Southwark</t>
  </si>
  <si>
    <t>Spelthorne</t>
  </si>
  <si>
    <t>St Albans</t>
  </si>
  <si>
    <t>St Edmundsbury</t>
  </si>
  <si>
    <t>St Helens</t>
  </si>
  <si>
    <t>Stafford</t>
  </si>
  <si>
    <t>Staffordshire Moorland</t>
  </si>
  <si>
    <t>Stevenage</t>
  </si>
  <si>
    <t>Stirling</t>
  </si>
  <si>
    <t>Stockport</t>
  </si>
  <si>
    <t>Stockton-on-Tees</t>
  </si>
  <si>
    <t>Stoke-on-Trent</t>
  </si>
  <si>
    <t>Stratford Upon Avon</t>
  </si>
  <si>
    <t>Stroud</t>
  </si>
  <si>
    <t>Suffolk Coastal</t>
  </si>
  <si>
    <t>Sunderland</t>
  </si>
  <si>
    <t>Surrey Heath</t>
  </si>
  <si>
    <t>Sutton</t>
  </si>
  <si>
    <t>Swale</t>
  </si>
  <si>
    <t>Swindon</t>
  </si>
  <si>
    <t>Tameside</t>
  </si>
  <si>
    <t>Tamworth</t>
  </si>
  <si>
    <t>Tandridge</t>
  </si>
  <si>
    <t>Taunton Deane</t>
  </si>
  <si>
    <t>Teesdale</t>
  </si>
  <si>
    <t>Teignbridge</t>
  </si>
  <si>
    <t>Tendring</t>
  </si>
  <si>
    <t>Test Valley</t>
  </si>
  <si>
    <t>Tewkesbury</t>
  </si>
  <si>
    <t>Thanet</t>
  </si>
  <si>
    <t>The Medway Towns</t>
  </si>
  <si>
    <t>The Wrekin</t>
  </si>
  <si>
    <t>Three Rivers</t>
  </si>
  <si>
    <t>Thurrock</t>
  </si>
  <si>
    <t>Tonbridge and Malling</t>
  </si>
  <si>
    <t>Torbay</t>
  </si>
  <si>
    <t>Torridge</t>
  </si>
  <si>
    <t>Tower Hamlets</t>
  </si>
  <si>
    <t>Trafford</t>
  </si>
  <si>
    <t>Tunbridge Wells</t>
  </si>
  <si>
    <t>Tynedale</t>
  </si>
  <si>
    <t>Uttlesford</t>
  </si>
  <si>
    <t>Vale of White Horse</t>
  </si>
  <si>
    <t>Vale Royal</t>
  </si>
  <si>
    <t>Wakefield</t>
  </si>
  <si>
    <t>Walsall</t>
  </si>
  <si>
    <t>Waltham Forest</t>
  </si>
  <si>
    <t>Wandsworth</t>
  </si>
  <si>
    <t>Wansbeck</t>
  </si>
  <si>
    <t>Warrington</t>
  </si>
  <si>
    <t>Warwick</t>
  </si>
  <si>
    <t>Watford</t>
  </si>
  <si>
    <t>Waveney</t>
  </si>
  <si>
    <t>Waverley</t>
  </si>
  <si>
    <t>Wealden</t>
  </si>
  <si>
    <t>Wear Valley</t>
  </si>
  <si>
    <t>Wellingborough</t>
  </si>
  <si>
    <t>Welwyn Hatfield</t>
  </si>
  <si>
    <t>West Berkshire</t>
  </si>
  <si>
    <t>West Devon</t>
  </si>
  <si>
    <t>West Dorset</t>
  </si>
  <si>
    <t>West Dumbartonshire</t>
  </si>
  <si>
    <t>West Lancashire</t>
  </si>
  <si>
    <t>West Lindsey</t>
  </si>
  <si>
    <t>West Lothian</t>
  </si>
  <si>
    <t>West Oxfordshire</t>
  </si>
  <si>
    <t>West Somerset</t>
  </si>
  <si>
    <t>West Wiltshire</t>
  </si>
  <si>
    <t>Western Isles</t>
  </si>
  <si>
    <t>Westminster</t>
  </si>
  <si>
    <t>Weymouth and Portland</t>
  </si>
  <si>
    <t>Wigan</t>
  </si>
  <si>
    <t>Winchester</t>
  </si>
  <si>
    <t>Windsor and Maidenhead</t>
  </si>
  <si>
    <t>Wirral</t>
  </si>
  <si>
    <t>Woking</t>
  </si>
  <si>
    <t>Wokingham</t>
  </si>
  <si>
    <t>Wolverhampton</t>
  </si>
  <si>
    <t>Worcester City</t>
  </si>
  <si>
    <t>Worthing</t>
  </si>
  <si>
    <t>Wychavon</t>
  </si>
  <si>
    <t>Wycombe</t>
  </si>
  <si>
    <t>Wyre</t>
  </si>
  <si>
    <t>Wyre Forest</t>
  </si>
  <si>
    <t>York</t>
  </si>
  <si>
    <t>Scottish</t>
  </si>
  <si>
    <t>"All Drawings from the Sheet"</t>
  </si>
  <si>
    <t>Project Information - Drawings</t>
  </si>
  <si>
    <t>Sheet 1</t>
  </si>
  <si>
    <t>Sheet 2</t>
  </si>
  <si>
    <t>Development Cash Flow</t>
  </si>
  <si>
    <t>Appraisal Tool Developed by</t>
  </si>
  <si>
    <r>
      <rPr>
        <b val="1"/>
        <sz val="11"/>
        <color indexed="13"/>
        <rFont val="Arial"/>
      </rPr>
      <t>JonWatson</t>
    </r>
    <r>
      <rPr>
        <sz val="11"/>
        <color indexed="13"/>
        <rFont val="Arial"/>
      </rPr>
      <t>consulting</t>
    </r>
  </si>
  <si>
    <t>Formula with Input Capability</t>
  </si>
  <si>
    <t>** denotes compulsory field - enter 0 where N/A</t>
  </si>
  <si>
    <r>
      <rPr>
        <b val="1"/>
        <sz val="10"/>
        <color indexed="8"/>
        <rFont val="Arial"/>
      </rPr>
      <t>Hereford Scheme</t>
    </r>
  </si>
  <si>
    <t>KEY DATES</t>
  </si>
  <si>
    <t>Acquisition</t>
  </si>
  <si>
    <t>Start On Site</t>
  </si>
  <si>
    <r>
      <rPr>
        <sz val="10"/>
        <color indexed="12"/>
        <rFont val="Arial"/>
      </rPr>
      <t>Design &amp; Build</t>
    </r>
  </si>
  <si>
    <t>Start on Site</t>
  </si>
  <si>
    <t>Purchase Completion</t>
  </si>
  <si>
    <t>Group</t>
  </si>
  <si>
    <t>Exp Inc</t>
  </si>
  <si>
    <t>Cost Type</t>
  </si>
  <si>
    <t>Estimated Total Project Cost</t>
  </si>
  <si>
    <t>Actual Spend to Date</t>
  </si>
  <si>
    <t>Project Cost from Apr 2020 - Mar 2023</t>
  </si>
  <si>
    <t>Acq</t>
  </si>
  <si>
    <t>Exp</t>
  </si>
  <si>
    <t>Acquistion Properties - Off The Shelf</t>
  </si>
  <si>
    <t>Acqusition Land  (n/a for Off The Shelf)</t>
  </si>
  <si>
    <t>Stamp Duty Land Tax</t>
  </si>
  <si>
    <t xml:space="preserve">Legal/Valuation Fees </t>
  </si>
  <si>
    <t>Contract</t>
  </si>
  <si>
    <t>Contract Sum (n/a for Off The Shelf)</t>
  </si>
  <si>
    <t xml:space="preserve">Retention </t>
  </si>
  <si>
    <t>Professional &amp; Project Management Fees (IF USING PROF FEE TAB)</t>
  </si>
  <si>
    <t>Other</t>
  </si>
  <si>
    <t>Professional &amp; Project Managrement Fees (IF NOT USING PROF FEE TAB)</t>
  </si>
  <si>
    <t xml:space="preserve">Building Regs/Planning Fees </t>
  </si>
  <si>
    <t>Marketing &amp; Sales Fee (external)</t>
  </si>
  <si>
    <t xml:space="preserve">Other Costs </t>
  </si>
  <si>
    <t>Other Costs</t>
  </si>
  <si>
    <r>
      <rPr>
        <b val="1"/>
        <sz val="10"/>
        <color indexed="8"/>
        <rFont val="Arial"/>
      </rPr>
      <t>TOTAL</t>
    </r>
  </si>
  <si>
    <t>Total HCA Grant</t>
  </si>
  <si>
    <t>Local Authority Grant</t>
  </si>
  <si>
    <t>Community Bond</t>
  </si>
  <si>
    <t>Shared Ownership Receipts</t>
  </si>
  <si>
    <t>Shared Equity Receipts</t>
  </si>
  <si>
    <t>Outright Sale Receipts</t>
  </si>
  <si>
    <t>TOTAL INCOME</t>
  </si>
  <si>
    <t>NET INCOME/(EXPENDITURE)</t>
  </si>
  <si>
    <t>DEVELOPMENT INTEREST</t>
  </si>
  <si>
    <t>Dev Cost Breakdown</t>
  </si>
  <si>
    <t>Detailed (Elemental) Cost Analysis</t>
  </si>
  <si>
    <t xml:space="preserve">Complete sections Highlighted in </t>
  </si>
  <si>
    <t>Use for design and build or traditional procurement type</t>
  </si>
  <si>
    <t>Do not use for off the shelf - enter details directy into Developemnt cash flow</t>
  </si>
  <si>
    <t>Element</t>
  </si>
  <si>
    <t>ELEMENT</t>
  </si>
  <si>
    <t>Total Cost</t>
  </si>
  <si>
    <t>Cost per metre Sq</t>
  </si>
  <si>
    <t>Unit Quantity</t>
  </si>
  <si>
    <t>Unit Rate</t>
  </si>
  <si>
    <t>£</t>
  </si>
  <si>
    <t>SUBSTRUCTURE</t>
  </si>
  <si>
    <t>Metre Sq</t>
  </si>
  <si>
    <t>SUPERSTRUCTURE</t>
  </si>
  <si>
    <t>Frame</t>
  </si>
  <si>
    <t>Upper Floors</t>
  </si>
  <si>
    <t>Roof</t>
  </si>
  <si>
    <t>Stairs and Ramps</t>
  </si>
  <si>
    <t>Number</t>
  </si>
  <si>
    <t>External Walls</t>
  </si>
  <si>
    <t>Windows and External Doors</t>
  </si>
  <si>
    <t>Internal Walls and Partitions</t>
  </si>
  <si>
    <t>Internal Doors</t>
  </si>
  <si>
    <t>Total Superstructure</t>
  </si>
  <si>
    <t>INTERNAL FINISHES</t>
  </si>
  <si>
    <t>Wall Finishes</t>
  </si>
  <si>
    <t>Floor Finishes</t>
  </si>
  <si>
    <t>Ceiling Finishes</t>
  </si>
  <si>
    <t>Total Internal Finishes</t>
  </si>
  <si>
    <t>FITTINGS, FURNISHINGS AND EQUIPMENT</t>
  </si>
  <si>
    <t>SERVICES</t>
  </si>
  <si>
    <t>Sanitary Installations</t>
  </si>
  <si>
    <t>Services Equipment</t>
  </si>
  <si>
    <t>Disposal Installations</t>
  </si>
  <si>
    <t>Water Installations</t>
  </si>
  <si>
    <t>Heat Source</t>
  </si>
  <si>
    <t>KW</t>
  </si>
  <si>
    <t>Space Heating &amp; Air Conditioning</t>
  </si>
  <si>
    <t>Ventilation Systems</t>
  </si>
  <si>
    <t>Electrical Installations</t>
  </si>
  <si>
    <t>Fuel Installations</t>
  </si>
  <si>
    <t>Lift and Conveyor Installations</t>
  </si>
  <si>
    <t>Fire and Lighting Protection</t>
  </si>
  <si>
    <t>Communication, Security and Control Installations</t>
  </si>
  <si>
    <t>Specalist Installations</t>
  </si>
  <si>
    <t>Builder's Work in Connection with services</t>
  </si>
  <si>
    <t>Total Services</t>
  </si>
  <si>
    <t>PREFABRICATED BUILDING AND BUILDING UNITS</t>
  </si>
  <si>
    <t>WORK TO EXISTING BUILDING</t>
  </si>
  <si>
    <t>Minor Demolition and Alteration works</t>
  </si>
  <si>
    <t>Total Work to Existing Building</t>
  </si>
  <si>
    <t>EXTERNAL WORKS</t>
  </si>
  <si>
    <t>Site Preparation Works</t>
  </si>
  <si>
    <t>Roads, Paths, Pavings and Surfacing</t>
  </si>
  <si>
    <t>Soft Landscaping, Planting and Irrigation Systems</t>
  </si>
  <si>
    <t>Fencing, Railings and Walls</t>
  </si>
  <si>
    <t>External Fixtures</t>
  </si>
  <si>
    <t>External Drainage</t>
  </si>
  <si>
    <t>External Services</t>
  </si>
  <si>
    <t>Minor Building Works and Ancillary Buildings</t>
  </si>
  <si>
    <t>Total External Works</t>
  </si>
  <si>
    <t>FACILITATING WORKS</t>
  </si>
  <si>
    <t>Toxic/Hazardous/Contaminated Material Treatment</t>
  </si>
  <si>
    <t>Major Demolition Works</t>
  </si>
  <si>
    <t xml:space="preserve">Temporary Support to Adjacent Structures </t>
  </si>
  <si>
    <t>Specalist Ground Works</t>
  </si>
  <si>
    <t>Temporary Diversion Works</t>
  </si>
  <si>
    <t>Extraordinary Site Investigation</t>
  </si>
  <si>
    <t>Total Facilitating Work</t>
  </si>
  <si>
    <t>MAIN CONTRACTOR'S PRELIMINARIES</t>
  </si>
  <si>
    <t>MAIN CONTRACTOR'S OVERHEAD AND PROFIT</t>
  </si>
  <si>
    <t>CONTRACT TOTAL (Excluding contingencies &amp; Fees)</t>
  </si>
  <si>
    <t>PROJECT/DESIGN TEAM FEE</t>
  </si>
  <si>
    <t>OTHER DEVELOPMENT/PROJECT COSTS</t>
  </si>
  <si>
    <t>RISK (CLIENT'S CONTINGENCIES)</t>
  </si>
  <si>
    <t>TOTAL CONTRACT/PROJECT COST</t>
  </si>
  <si>
    <t>Contract Sum</t>
  </si>
  <si>
    <t>Retention</t>
  </si>
  <si>
    <t>Professional Fees</t>
  </si>
  <si>
    <t>Professional Fee Analysis</t>
  </si>
  <si>
    <r>
      <rPr>
        <b val="1"/>
        <sz val="12"/>
        <color indexed="8"/>
        <rFont val="Arial"/>
      </rPr>
      <t>Design &amp; Build</t>
    </r>
  </si>
  <si>
    <t>Complete sections Highlighted in blue</t>
  </si>
  <si>
    <t>Net</t>
  </si>
  <si>
    <t>VAT</t>
  </si>
  <si>
    <t>Notes</t>
  </si>
  <si>
    <t>Date Paid</t>
  </si>
  <si>
    <r>
      <rPr>
        <sz val="10"/>
        <color indexed="8"/>
        <rFont val="Arial"/>
      </rPr>
      <t>Sep-2021</t>
    </r>
  </si>
  <si>
    <t>DESIGN &amp; BUILD</t>
  </si>
  <si>
    <t>Architects - Pre Contract (DESIGN &amp; BUILD)</t>
  </si>
  <si>
    <t>Default 2% of contract sum</t>
  </si>
  <si>
    <t>Quantity Surveyor (DESIGN &amp; BUILD)</t>
  </si>
  <si>
    <t>Default 1.5% of contract sum</t>
  </si>
  <si>
    <t>Employers Agent Fees (DESIGN &amp; BUILD)</t>
  </si>
  <si>
    <t>Default 2.0% of contract sum</t>
  </si>
  <si>
    <t xml:space="preserve">OFF THE SHELF </t>
  </si>
  <si>
    <t>Quantity Surveyor (OFF THE SHELF)</t>
  </si>
  <si>
    <t>TRADITIONAL</t>
  </si>
  <si>
    <t>Architects - (TRADITIONAL)</t>
  </si>
  <si>
    <t>Default 2.5% of contract sum</t>
  </si>
  <si>
    <t>Quantity Surveyor (TRADITIONAL)</t>
  </si>
  <si>
    <t>Clerk of Works (TRADITIONAL)</t>
  </si>
  <si>
    <t>Default 1.0% of contract sum</t>
  </si>
  <si>
    <t>Engineer fee (TRADITIONAL)</t>
  </si>
  <si>
    <t>OTHER FEES WHERE APPLICABLE</t>
  </si>
  <si>
    <t>Project Management</t>
  </si>
  <si>
    <t xml:space="preserve">CDM Co-Ordinator </t>
  </si>
  <si>
    <t>Soils Investigation</t>
  </si>
  <si>
    <t>Topographical survey</t>
  </si>
  <si>
    <t>Ecological survey</t>
  </si>
  <si>
    <t>Arbocultural Survey/Landscape assessment</t>
  </si>
  <si>
    <t>Noise assessment</t>
  </si>
  <si>
    <t>Flood risk assessment</t>
  </si>
  <si>
    <t>Mining risk Assessment</t>
  </si>
  <si>
    <t>Air quality assessment</t>
  </si>
  <si>
    <t>Heritage assessment</t>
  </si>
  <si>
    <t>Professional Fees as percentage of build costs</t>
  </si>
  <si>
    <t>Check s/b = 0</t>
  </si>
  <si>
    <t>Professional Fees - Drawings</t>
  </si>
  <si>
    <t>Average Earnings in  =</t>
  </si>
  <si>
    <t>1999</t>
  </si>
  <si>
    <t>Original Target</t>
  </si>
  <si>
    <t>Manual</t>
  </si>
  <si>
    <t xml:space="preserve">** denotes compulsory field </t>
  </si>
  <si>
    <t>Unit Type</t>
  </si>
  <si>
    <t>No. of Units</t>
  </si>
  <si>
    <t>No. of Beds per Unit</t>
  </si>
  <si>
    <t>No. of Persons per Unit</t>
  </si>
  <si>
    <t>Property</t>
  </si>
  <si>
    <t>Individual Floor Area</t>
  </si>
  <si>
    <t>January 1999 Valuation</t>
  </si>
  <si>
    <t>OMV on completion</t>
  </si>
  <si>
    <t>Target Rent for</t>
  </si>
  <si>
    <t>Weekly Unit Rent for</t>
  </si>
  <si>
    <t>Total p.a.</t>
  </si>
  <si>
    <t>2017/18 Target Rent</t>
  </si>
  <si>
    <t>Bedroom Weighting</t>
  </si>
  <si>
    <t>Property Code</t>
  </si>
  <si>
    <t>LAs</t>
  </si>
  <si>
    <t>Pre-1996 Counties</t>
  </si>
  <si>
    <t>Earnings</t>
  </si>
  <si>
    <t>Regions ;</t>
  </si>
  <si>
    <t>(sq. m.)</t>
  </si>
  <si>
    <t>(individual unit)</t>
  </si>
  <si>
    <t>with inner London ILEA</t>
  </si>
  <si>
    <t>£ pw</t>
  </si>
  <si>
    <t>LA name</t>
  </si>
  <si>
    <t>Property Type</t>
  </si>
  <si>
    <t>Assumptions and Calculations</t>
  </si>
  <si>
    <t>WEST SUSSEX</t>
  </si>
  <si>
    <t>CUMBRIA</t>
  </si>
  <si>
    <t>1B1PF</t>
  </si>
  <si>
    <t>NORTHUMBERLAND</t>
  </si>
  <si>
    <t>1B1PT</t>
  </si>
  <si>
    <t>DERBYSHIRE</t>
  </si>
  <si>
    <t>1B2PA</t>
  </si>
  <si>
    <t>1B2PB</t>
  </si>
  <si>
    <t>NOTTINGHAMSHIRE</t>
  </si>
  <si>
    <t>1B2PF</t>
  </si>
  <si>
    <t>MRP % per unit</t>
  </si>
  <si>
    <t>KENT</t>
  </si>
  <si>
    <t>1B2PH</t>
  </si>
  <si>
    <t>Number of units</t>
  </si>
  <si>
    <t>BUCKINGHAMSHIRE</t>
  </si>
  <si>
    <t>2B2PF</t>
  </si>
  <si>
    <t>Average rent per unit per week</t>
  </si>
  <si>
    <t>SUFFOLK</t>
  </si>
  <si>
    <t>Eastern</t>
  </si>
  <si>
    <t>2B3PA</t>
  </si>
  <si>
    <t>Voids %</t>
  </si>
  <si>
    <t>OUTER LONDON</t>
  </si>
  <si>
    <t>Outer London</t>
  </si>
  <si>
    <t>2B3PB</t>
  </si>
  <si>
    <t>Management cost per unit per annum</t>
  </si>
  <si>
    <t>Total Units</t>
  </si>
  <si>
    <t>Total Persons</t>
  </si>
  <si>
    <t>Average Rent =</t>
  </si>
  <si>
    <t>2B3PF</t>
  </si>
  <si>
    <t>Maintenance cost per unit per annum</t>
  </si>
  <si>
    <t>SOUTH YORKSHIRE</t>
  </si>
  <si>
    <t>Yorks &amp; Humberside</t>
  </si>
  <si>
    <t>2B3PH</t>
  </si>
  <si>
    <t>MRP cost per unit per annum</t>
  </si>
  <si>
    <t>2B3PW</t>
  </si>
  <si>
    <t>Increases per annum - rents</t>
  </si>
  <si>
    <t>ESSEX</t>
  </si>
  <si>
    <t>2B4PB</t>
  </si>
  <si>
    <t xml:space="preserve">                                   - management</t>
  </si>
  <si>
    <t>HAMPSHIRE</t>
  </si>
  <si>
    <t>2B4PF</t>
  </si>
  <si>
    <t xml:space="preserve">                                   - maintenance</t>
  </si>
  <si>
    <t>2B4PH</t>
  </si>
  <si>
    <t xml:space="preserve">                                   - MRP</t>
  </si>
  <si>
    <t>AVON</t>
  </si>
  <si>
    <t>2B4PW</t>
  </si>
  <si>
    <t>Discount Period in Years</t>
  </si>
  <si>
    <t>BEDFORDSHIRE</t>
  </si>
  <si>
    <t>3B3PH</t>
  </si>
  <si>
    <t>Discount Rate</t>
  </si>
  <si>
    <t>Gross rent</t>
  </si>
  <si>
    <t xml:space="preserve">£  </t>
  </si>
  <si>
    <t>3B3PS</t>
  </si>
  <si>
    <t>3B4PA</t>
  </si>
  <si>
    <t>Manag</t>
  </si>
  <si>
    <t>WEST MIDLANDS</t>
  </si>
  <si>
    <t>3B4PF</t>
  </si>
  <si>
    <t>NPV</t>
  </si>
  <si>
    <t>Maint</t>
  </si>
  <si>
    <t>LEICESTERSHIRE</t>
  </si>
  <si>
    <t>3B4PB</t>
  </si>
  <si>
    <t>MRP</t>
  </si>
  <si>
    <t>LANCASHIRE</t>
  </si>
  <si>
    <t>3B4PH</t>
  </si>
  <si>
    <t>Discounted</t>
  </si>
  <si>
    <t>3B4PW</t>
  </si>
  <si>
    <t>Year</t>
  </si>
  <si>
    <t>Net rent</t>
  </si>
  <si>
    <t>Residual Int</t>
  </si>
  <si>
    <t>Surplus</t>
  </si>
  <si>
    <t>3B5PA</t>
  </si>
  <si>
    <t>3B5PB</t>
  </si>
  <si>
    <t>Residual Interest</t>
  </si>
  <si>
    <t>GREATER MANCHESTER</t>
  </si>
  <si>
    <t>3B5PF</t>
  </si>
  <si>
    <t>0</t>
  </si>
  <si>
    <t>LINCOLNSHIRE</t>
  </si>
  <si>
    <t>3B5PH</t>
  </si>
  <si>
    <t>DORSET</t>
  </si>
  <si>
    <t>3B5PW</t>
  </si>
  <si>
    <t>BERKSHIRE</t>
  </si>
  <si>
    <t>3B6PB</t>
  </si>
  <si>
    <t>WEST YORKSHIRE</t>
  </si>
  <si>
    <t>3B6PH</t>
  </si>
  <si>
    <t>4B4PS</t>
  </si>
  <si>
    <t>NORFOLK</t>
  </si>
  <si>
    <t>4B6PA</t>
  </si>
  <si>
    <t>4B6PH</t>
  </si>
  <si>
    <t>4B7PA</t>
  </si>
  <si>
    <t>SHROPSHIRE</t>
  </si>
  <si>
    <t>4B7PB</t>
  </si>
  <si>
    <t>EAST SUSSEX</t>
  </si>
  <si>
    <t>4B7PH</t>
  </si>
  <si>
    <t>4B7PW</t>
  </si>
  <si>
    <t>4B8PH</t>
  </si>
  <si>
    <t>4B8PW</t>
  </si>
  <si>
    <t>HEREFORD &amp; WORCESTER</t>
  </si>
  <si>
    <t>5B10PH</t>
  </si>
  <si>
    <t>HERTFORDSHIRE</t>
  </si>
  <si>
    <t>Bury</t>
  </si>
  <si>
    <t>CAMBRIDGESHIRE</t>
  </si>
  <si>
    <t>INNER LONDON</t>
  </si>
  <si>
    <t>Inner London</t>
  </si>
  <si>
    <t>STAFFORDSHIRE</t>
  </si>
  <si>
    <t>CORNWALL</t>
  </si>
  <si>
    <t>npv minus resid. Int.</t>
  </si>
  <si>
    <t>GLOUCESTERSHIRE</t>
  </si>
  <si>
    <t>OXFORDSHIRE</t>
  </si>
  <si>
    <t>CHESHIRE</t>
  </si>
  <si>
    <t>DURHAM</t>
  </si>
  <si>
    <t>NORTHAMPTONSHIRE</t>
  </si>
  <si>
    <t>NORTH YORKSHIRE</t>
  </si>
  <si>
    <t>residual interest</t>
  </si>
  <si>
    <t>DEVON</t>
  </si>
  <si>
    <t>VP</t>
  </si>
  <si>
    <t>HUMBERSIDE</t>
  </si>
  <si>
    <t>SURREY</t>
  </si>
  <si>
    <t>TYNE &amp; WEAR</t>
  </si>
  <si>
    <t>CLEVELAND</t>
  </si>
  <si>
    <t>ISLE OF WIGHT</t>
  </si>
  <si>
    <t>WILTSHIRE</t>
  </si>
  <si>
    <t>Kingston upon Hull</t>
  </si>
  <si>
    <t>Kingston upon Thames</t>
  </si>
  <si>
    <t>MERSEYSIDE</t>
  </si>
  <si>
    <t>SOMERSET</t>
  </si>
  <si>
    <t>North Somerset</t>
  </si>
  <si>
    <t>WARWICKSHIRE</t>
  </si>
  <si>
    <t>Richmond upon Thames</t>
  </si>
  <si>
    <t xml:space="preserve">Stockton-on-Tees </t>
  </si>
  <si>
    <t>Stratford upon Avon</t>
  </si>
  <si>
    <t>ENGLAND</t>
  </si>
  <si>
    <t>Get LA &amp; County, for</t>
  </si>
  <si>
    <t>M&amp;M &amp; earnings, above.</t>
  </si>
  <si>
    <t>County =</t>
  </si>
  <si>
    <t>Note, above LA name sort</t>
  </si>
  <si>
    <t>is alphabetic but with some</t>
  </si>
  <si>
    <t>LA name spellings modified</t>
  </si>
  <si>
    <t>from last year.</t>
  </si>
  <si>
    <t>General Needs self-contained or shared,</t>
  </si>
  <si>
    <t>Social Rent - Drawings</t>
  </si>
  <si>
    <t xml:space="preserve">Affordable Rent </t>
  </si>
  <si>
    <t>Weekly Market Rent for</t>
  </si>
  <si>
    <t>Percentage of Market Rent</t>
  </si>
  <si>
    <t>LONGTERM BORROWING CALCULATION SUPPORTED BY RENTS</t>
  </si>
  <si>
    <t>2</t>
  </si>
  <si>
    <t>3</t>
  </si>
  <si>
    <t>House</t>
  </si>
  <si>
    <t>H</t>
  </si>
  <si>
    <t>0B0PS</t>
  </si>
  <si>
    <t>4</t>
  </si>
  <si>
    <t xml:space="preserve">                                   - building fund</t>
  </si>
  <si>
    <t>First year</t>
  </si>
  <si>
    <t>Financing</t>
  </si>
  <si>
    <t>Full Value</t>
  </si>
  <si>
    <t>Receipt</t>
  </si>
  <si>
    <t>Date of Sale</t>
  </si>
  <si>
    <t>Rent cap as % of unsold equity</t>
  </si>
  <si>
    <t>Maximum Rents receivable</t>
  </si>
  <si>
    <t>Total Rent p.a.</t>
  </si>
  <si>
    <t>Total Sale Receipt</t>
  </si>
  <si>
    <t>Cost of Development</t>
  </si>
  <si>
    <t>First Tranch</t>
  </si>
  <si>
    <t>Rental Income</t>
  </si>
  <si>
    <t>%</t>
  </si>
  <si>
    <t>Gross Rent</t>
  </si>
  <si>
    <t>New Build/Rehab</t>
  </si>
  <si>
    <t>NB - GDT</t>
  </si>
  <si>
    <t>NB - non GDT</t>
  </si>
  <si>
    <t>RH</t>
  </si>
  <si>
    <t>Shared Ownership - Drawings</t>
  </si>
  <si>
    <t xml:space="preserve">Market Rent </t>
  </si>
  <si>
    <t>Market Rent - Drawings</t>
  </si>
  <si>
    <t>Limited Equity - Drawings</t>
  </si>
  <si>
    <t>OutrightSale</t>
  </si>
  <si>
    <t xml:space="preserve">Outright Sale </t>
  </si>
  <si>
    <t>Sales Value</t>
  </si>
  <si>
    <t>= Total Receipt</t>
  </si>
  <si>
    <t>OutrightSale - Drawings</t>
  </si>
  <si>
    <t>Commercial Property</t>
  </si>
  <si>
    <t xml:space="preserve">Office </t>
  </si>
  <si>
    <t>Workshop</t>
  </si>
  <si>
    <t>Retail</t>
  </si>
  <si>
    <t>Training Room</t>
  </si>
  <si>
    <t>Conference Room</t>
  </si>
  <si>
    <t>Cafe</t>
  </si>
  <si>
    <t>Factory</t>
  </si>
  <si>
    <t>Commercial - Drawings</t>
  </si>
  <si>
    <t>KEY KPI's</t>
  </si>
  <si/>
  <si/>
  <si>
    <r>
      <rPr>
        <b val="1"/>
        <sz val="14"/>
        <color indexed="8"/>
        <rFont val="Arial"/>
      </rPr>
      <t>Hereford Scheme</t>
    </r>
  </si>
  <si>
    <t>Surplus/(Deficit) on the scheme</t>
  </si>
  <si>
    <t>Cash Surplus/(Deficit) Years 1-5</t>
  </si>
  <si>
    <t>Overall Development Costs</t>
  </si>
  <si>
    <t>Cumulative Cashflow Year 50</t>
  </si>
  <si>
    <t>Less</t>
  </si>
  <si>
    <t>Interest Cover (15 Years)</t>
  </si>
  <si>
    <t>Grant income</t>
  </si>
  <si>
    <t>Debt Fully Repaid</t>
  </si>
  <si>
    <t>Sales income</t>
  </si>
  <si>
    <t>Allowances as % of Gross rents by year</t>
  </si>
  <si>
    <t>Subtotal</t>
  </si>
  <si>
    <t>Management</t>
  </si>
  <si>
    <t>NPV of rental streams (50 Yrs)</t>
  </si>
  <si>
    <t>Maintenance</t>
  </si>
  <si>
    <t>Major repairs</t>
  </si>
  <si>
    <t>Surplus/(Deficit) on Scheme</t>
  </si>
  <si>
    <t>Total</t>
  </si>
  <si>
    <t>Cost/Value ratio</t>
  </si>
  <si>
    <t>Summary</t>
  </si>
  <si>
    <t>Summary Of Project Appraisal</t>
  </si>
  <si>
    <t>SUMMARY DEVELOPMENT INFORMATION</t>
  </si>
  <si>
    <t>Total No. of</t>
  </si>
  <si>
    <t>Total Square</t>
  </si>
  <si>
    <t>Persons</t>
  </si>
  <si>
    <t>Metres</t>
  </si>
  <si>
    <t>Units</t>
  </si>
  <si>
    <t>Homebuy</t>
  </si>
  <si>
    <t>Costs per</t>
  </si>
  <si>
    <t>Development Costs</t>
  </si>
  <si>
    <t>square metre</t>
  </si>
  <si>
    <t>Acquisition - Land - inc Stamp Duty Land Tax</t>
  </si>
  <si>
    <t>Acquisition - Off the Shelf completed properties - will include land</t>
  </si>
  <si>
    <t>Construction Costs</t>
  </si>
  <si>
    <t>Construction on costs</t>
  </si>
  <si>
    <t>of development costs</t>
  </si>
  <si>
    <t>Project costs sub total</t>
  </si>
  <si>
    <t>Development interest</t>
  </si>
  <si>
    <t>Total Development Costs</t>
  </si>
  <si>
    <t>Funding</t>
  </si>
  <si>
    <t>Per Unit</t>
  </si>
  <si>
    <t>Grant Income</t>
  </si>
  <si>
    <t>HCA Grant</t>
  </si>
  <si>
    <t>Local Authority Grants</t>
  </si>
  <si>
    <t>Total Grant Funding</t>
  </si>
  <si>
    <t>Sales Income</t>
  </si>
  <si>
    <t>Outright Sales</t>
  </si>
  <si>
    <t>Total Sales Income</t>
  </si>
  <si>
    <t>Long Term Funding Requirement</t>
  </si>
  <si>
    <t>Cash Flow</t>
  </si>
  <si>
    <t>Project Name :</t>
  </si>
  <si>
    <t>Development Period</t>
  </si>
  <si>
    <t>Months</t>
  </si>
  <si>
    <t>PROJECTED CASH FLOW</t>
  </si>
  <si>
    <t xml:space="preserve">Year </t>
  </si>
  <si>
    <t xml:space="preserve">INCOME </t>
  </si>
  <si>
    <t>Gross rents</t>
  </si>
  <si>
    <t>SHG Grant</t>
  </si>
  <si>
    <t>Other Grants</t>
  </si>
  <si>
    <t>Loan Finance</t>
  </si>
  <si>
    <t>Sales Receipt - Shared Ownership - First Tranche</t>
  </si>
  <si>
    <t>Sales Receipt - Shared Equity</t>
  </si>
  <si>
    <t>Sales Receipt - Outright sale</t>
  </si>
  <si>
    <t>Commercial Rents</t>
  </si>
  <si>
    <t>Commercial Voids</t>
  </si>
  <si>
    <t>Total Income</t>
  </si>
  <si>
    <t>EXPENDITURE</t>
  </si>
  <si>
    <t>Development Expenditure</t>
  </si>
  <si>
    <t>Major Repairs</t>
  </si>
  <si>
    <t>Total Expenditure</t>
  </si>
  <si>
    <t>Long Term Borrowing</t>
  </si>
  <si>
    <t>Capital</t>
  </si>
  <si>
    <t>Interest</t>
  </si>
  <si>
    <t>Unsecured Short Term Lending</t>
  </si>
  <si>
    <t>Interest Payable</t>
  </si>
  <si>
    <t>Interest Receivable</t>
  </si>
  <si>
    <t>Annual Surplus/(Deficit)</t>
  </si>
  <si>
    <t>Cumulative Surplus/(Deficit)</t>
  </si>
  <si>
    <t>Cash Flow - Drawings</t>
  </si>
  <si>
    <t>Sheet 3</t>
  </si>
  <si>
    <t>Balance Sheet</t>
  </si>
  <si>
    <t>Projected Balance Sheet</t>
  </si>
  <si>
    <r>
      <rPr>
        <b val="1"/>
        <sz val="11"/>
        <color indexed="8"/>
        <rFont val="Arial"/>
      </rPr>
      <t xml:space="preserve">Year </t>
    </r>
  </si>
  <si>
    <t>Fixed assets</t>
  </si>
  <si>
    <t>Housing Properties at cost</t>
  </si>
  <si>
    <t>Less SHG</t>
  </si>
  <si>
    <t>Less Other Grant</t>
  </si>
  <si>
    <t>Less First Tranche HomeBuy Sales</t>
  </si>
  <si>
    <t>Less First Tranch Equity Share Sales</t>
  </si>
  <si>
    <t>Less Outright sales</t>
  </si>
  <si>
    <t>Net cost</t>
  </si>
  <si>
    <t>Current Liabilities</t>
  </si>
  <si>
    <t>Bank</t>
  </si>
  <si>
    <t>Loan - Secured</t>
  </si>
  <si>
    <t>Repayments</t>
  </si>
  <si>
    <t>Rolled Up Interest</t>
  </si>
  <si>
    <t>Total Liabilities</t>
  </si>
  <si>
    <t>Net assets</t>
  </si>
  <si>
    <t>Reserves brought forward</t>
  </si>
  <si>
    <t>Profit and Loss account</t>
  </si>
  <si>
    <t>Reserves carried forward</t>
  </si>
  <si>
    <t>Balance Sheet Check</t>
  </si>
  <si>
    <t>Peak Funding Requirement</t>
  </si>
  <si>
    <r>
      <rPr>
        <sz val="12"/>
        <color indexed="8"/>
        <rFont val="Arial"/>
      </rPr>
      <t xml:space="preserve">&gt;2060 </t>
    </r>
  </si>
  <si>
    <t xml:space="preserve">&gt;50 </t>
  </si>
  <si>
    <t>Peak Debt</t>
  </si>
  <si>
    <r>
      <rPr>
        <sz val="12"/>
        <color indexed="8"/>
        <rFont val="Arial"/>
      </rPr>
      <t xml:space="preserve">&gt;2,060 </t>
    </r>
  </si>
  <si>
    <t>&gt;</t>
  </si>
  <si>
    <t>Balance Sheet - Drawings</t>
  </si>
  <si>
    <t>I&amp;E</t>
  </si>
  <si>
    <t>Projected Income &amp; Expenditure Account</t>
  </si>
  <si>
    <t>INCOME</t>
  </si>
  <si>
    <t>Rents</t>
  </si>
  <si>
    <t>Void Percentage</t>
  </si>
  <si>
    <r>
      <rPr>
        <sz val="11"/>
        <color indexed="8"/>
        <rFont val="Arial"/>
      </rPr>
      <t>Management</t>
    </r>
  </si>
  <si>
    <r>
      <rPr>
        <sz val="11"/>
        <color indexed="8"/>
        <rFont val="Arial"/>
      </rPr>
      <t>Major Repairs</t>
    </r>
  </si>
  <si>
    <t>OPERATING SURPLUS / (LOSS)</t>
  </si>
  <si>
    <t>First Tranch Homebuy Sales</t>
  </si>
  <si>
    <t xml:space="preserve">Receipts </t>
  </si>
  <si>
    <t>Cost</t>
  </si>
  <si>
    <t>First Tranch Shared Equity Sales</t>
  </si>
  <si>
    <t xml:space="preserve">Outright sale </t>
  </si>
  <si>
    <r>
      <rPr>
        <sz val="11"/>
        <color indexed="8"/>
        <rFont val="Arial"/>
      </rPr>
      <t>Interest Receivable</t>
    </r>
  </si>
  <si>
    <t>SURPLUS/(DEFICIT) AFTER FINANCING COSTS</t>
  </si>
  <si>
    <t>CUMM SURPLUS/(DEFICIT)</t>
  </si>
  <si>
    <t>Interest Cover surplus</t>
  </si>
  <si>
    <t>Net Interest</t>
  </si>
  <si>
    <t>Interest Cover 15 years</t>
  </si>
  <si>
    <t>Secured Funding</t>
  </si>
  <si>
    <t>Interest rate % p.a.</t>
  </si>
  <si>
    <t>Annuity increase % p.a. (e.g. for deferred interest loans)</t>
  </si>
  <si>
    <t>Indexation factor % p.a. (e.g. for index linked loans)</t>
  </si>
  <si>
    <t>Term in years</t>
  </si>
  <si>
    <t>Sum borrowed</t>
  </si>
  <si>
    <t>Indicator (1 = deferred interest  0 = other)</t>
  </si>
  <si>
    <t>Deferred interest factor - annuity per £1,000 borrowed</t>
  </si>
  <si>
    <t xml:space="preserve">Deferred loan  - percentage deferred from normal mortgage </t>
  </si>
  <si>
    <t>First year annuity</t>
  </si>
  <si>
    <t>Decimal places in calcs</t>
  </si>
  <si>
    <t>Interest @</t>
  </si>
  <si>
    <t>Annuity</t>
  </si>
  <si>
    <t>Principal</t>
  </si>
  <si>
    <t>Bal b/f</t>
  </si>
  <si>
    <t>Bal c/f</t>
  </si>
  <si>
    <t>Repaid In Year</t>
  </si>
  <si>
    <t>Graphs</t>
  </si>
  <si>
    <t>Annual Cash Flow</t>
  </si>
  <si>
    <t>Debt</t>
  </si>
  <si>
    <t>Cumulative Cash position</t>
  </si>
  <si>
    <t>Master Cost Page</t>
  </si>
  <si>
    <t>CostPageFormulas range</t>
  </si>
  <si>
    <t>Default Costs</t>
  </si>
  <si>
    <t>Acquistion Properties - OTS</t>
  </si>
  <si>
    <r>
      <rPr>
        <sz val="12"/>
        <color indexed="8"/>
        <rFont val="Times"/>
      </rPr>
      <t xml:space="preserve">Acqusition Land  </t>
    </r>
    <r>
      <rPr>
        <sz val="12"/>
        <color indexed="14"/>
        <rFont val="Times"/>
      </rPr>
      <t>(n/a for OTS)</t>
    </r>
  </si>
  <si>
    <r>
      <rPr>
        <sz val="12"/>
        <color indexed="8"/>
        <rFont val="Times"/>
      </rPr>
      <t>Acqusition Land  (n/a for OTS)</t>
    </r>
  </si>
  <si>
    <t>Stamp Duty</t>
  </si>
  <si>
    <r>
      <rPr>
        <sz val="12"/>
        <color indexed="8"/>
        <rFont val="Times"/>
      </rPr>
      <t>Stamp Duty</t>
    </r>
  </si>
  <si>
    <r>
      <rPr>
        <sz val="12"/>
        <color indexed="8"/>
        <rFont val="Times"/>
      </rPr>
      <t xml:space="preserve">Contract Sum </t>
    </r>
    <r>
      <rPr>
        <sz val="12"/>
        <color indexed="14"/>
        <rFont val="Times"/>
      </rPr>
      <t>(n/a for OTS)</t>
    </r>
  </si>
  <si>
    <r>
      <rPr>
        <sz val="12"/>
        <color indexed="8"/>
        <rFont val="Times"/>
      </rPr>
      <t>Contract Sum (n/a for OTS)</t>
    </r>
  </si>
  <si>
    <r>
      <rPr>
        <sz val="12"/>
        <color indexed="8"/>
        <rFont val="Times"/>
      </rPr>
      <t xml:space="preserve">Building Regs/Planning Fees </t>
    </r>
  </si>
  <si>
    <r>
      <rPr>
        <sz val="12"/>
        <color indexed="8"/>
        <rFont val="Times"/>
      </rPr>
      <t>Project Management</t>
    </r>
  </si>
  <si>
    <r>
      <rPr>
        <sz val="12"/>
        <color indexed="8"/>
        <rFont val="Times"/>
      </rPr>
      <t>Other Costs</t>
    </r>
  </si>
  <si>
    <t>WORKS SUM PAYMENTS SCHEDULE</t>
  </si>
  <si>
    <t>WORKS SUM inc. D &amp; B</t>
  </si>
  <si>
    <t>CONTRACT TERM</t>
  </si>
  <si>
    <t>START MONTH</t>
  </si>
  <si>
    <t>MONTH</t>
  </si>
  <si>
    <t>WORKS SUM</t>
  </si>
  <si>
    <t>Landscaping</t>
  </si>
  <si>
    <t>1997/98 Allowances</t>
  </si>
  <si>
    <t>GN</t>
  </si>
  <si>
    <t xml:space="preserve"> p.u.</t>
  </si>
  <si>
    <t>MRP at  Jan 1998</t>
  </si>
  <si>
    <t>Disbursements</t>
  </si>
  <si>
    <t>@</t>
  </si>
  <si>
    <t>Structural engineer</t>
  </si>
  <si>
    <t>Mechanical/electrical engineer</t>
  </si>
  <si>
    <t>Landscape architect</t>
  </si>
  <si>
    <t>/</t>
  </si>
  <si>
    <t>units</t>
  </si>
  <si>
    <t>start month</t>
  </si>
  <si>
    <t>month</t>
  </si>
  <si>
    <t>DESIGN FEES</t>
  </si>
  <si>
    <t>Repayments term</t>
  </si>
  <si>
    <t>Repayment Holiday</t>
  </si>
  <si>
    <t>Total Term</t>
  </si>
  <si>
    <t>Roll Up Interest</t>
  </si>
  <si>
    <t>Opening Balance</t>
  </si>
  <si>
    <t>Bullet Capital Repayment</t>
  </si>
  <si>
    <t>Capital Repayments</t>
  </si>
  <si>
    <t>Interest Paid</t>
  </si>
  <si>
    <t>Closing Balance</t>
  </si>
</sst>
</file>

<file path=xl/styles.xml><?xml version="1.0" encoding="utf-8"?>
<styleSheet xmlns="http://schemas.openxmlformats.org/spreadsheetml/2006/main">
  <numFmts count="28">
    <numFmt numFmtId="0" formatCode="General"/>
    <numFmt numFmtId="59" formatCode="#,##0&quot; &quot;;(#,##0)"/>
    <numFmt numFmtId="60" formatCode="dd&quot; &quot;mmmm&quot; &quot;yyyy"/>
    <numFmt numFmtId="61" formatCode="0.0%"/>
    <numFmt numFmtId="62" formatCode="[$£-809]#,##0"/>
    <numFmt numFmtId="63" formatCode="mmmm&quot;-&quot;yy"/>
    <numFmt numFmtId="64" formatCode="[$£-809]#,##0&quot; &quot;;([$£-809]#,##0)"/>
    <numFmt numFmtId="65" formatCode="mmm&quot;-&quot;yyyy"/>
    <numFmt numFmtId="66" formatCode="mmm-d"/>
    <numFmt numFmtId="67" formatCode="#,##0;(#,##0)"/>
    <numFmt numFmtId="68" formatCode="0&quot; &quot;;(0)"/>
    <numFmt numFmtId="69" formatCode="0.0000000"/>
    <numFmt numFmtId="70" formatCode="[$£-809]#,##0.00;[Red][$£-809]#,##0.00"/>
    <numFmt numFmtId="71" formatCode="&quot; &quot;[$£-809]* #,##0.00&quot; &quot;;&quot;-&quot;[$£-809]* #,##0.00&quot; &quot;;&quot; &quot;[$£-809]* &quot;-&quot;??&quot; &quot;"/>
    <numFmt numFmtId="72" formatCode="#,##0&quot; &quot;;&quot;-&quot;#,##0&quot; &quot;"/>
    <numFmt numFmtId="73" formatCode="[$£-809]#,##0.00;&quot;-&quot;[$£-809]#,##0.00"/>
    <numFmt numFmtId="74" formatCode="[$£-809]#,##0;&quot;-&quot;[$£-809]#,##0"/>
    <numFmt numFmtId="75" formatCode="0.00000"/>
    <numFmt numFmtId="76" formatCode="0.0000"/>
    <numFmt numFmtId="77" formatCode="&quot; &quot;* #,##0&quot; &quot;;&quot;-&quot;* #,##0&quot; &quot;;&quot; &quot;* &quot;-&quot;??&quot; &quot;"/>
    <numFmt numFmtId="78" formatCode="&quot; &quot;* #,##0.00&quot; &quot;;&quot;-&quot;* #,##0.00&quot; &quot;;&quot; &quot;* &quot;-&quot;??&quot; &quot;"/>
    <numFmt numFmtId="79" formatCode="#,##0.00&quot; &quot;;(#,##0.00)"/>
    <numFmt numFmtId="80" formatCode="#,##0.00&quot; &quot;;&quot;-&quot;#,##0.00&quot; &quot;"/>
    <numFmt numFmtId="81" formatCode="0.000%"/>
    <numFmt numFmtId="82" formatCode="0&quot; &quot;"/>
    <numFmt numFmtId="83" formatCode="#,##0.00000&quot; &quot;;(#,##0.00000)"/>
    <numFmt numFmtId="84" formatCode="0.00&quot; &quot;"/>
    <numFmt numFmtId="85" formatCode="0.0&quot; &quot;"/>
  </numFmts>
  <fonts count="81">
    <font>
      <sz val="12"/>
      <color indexed="8"/>
      <name val="Verdana"/>
    </font>
    <font>
      <sz val="14"/>
      <color indexed="8"/>
      <name val="Verdana"/>
    </font>
    <font>
      <sz val="12"/>
      <color indexed="8"/>
      <name val="Helvetica"/>
    </font>
    <font>
      <u val="single"/>
      <sz val="12"/>
      <color indexed="11"/>
      <name val="Verdana"/>
    </font>
    <font>
      <sz val="10"/>
      <color indexed="8"/>
      <name val="Arial"/>
    </font>
    <font>
      <sz val="13"/>
      <color indexed="8"/>
      <name val="Arial"/>
    </font>
    <font>
      <b val="1"/>
      <sz val="14"/>
      <color indexed="8"/>
      <name val="Arial"/>
    </font>
    <font>
      <b val="1"/>
      <sz val="10"/>
      <color indexed="8"/>
      <name val="Arial"/>
    </font>
    <font>
      <sz val="10"/>
      <color indexed="8"/>
      <name val="Helvetica"/>
    </font>
    <font>
      <b val="1"/>
      <sz val="10"/>
      <color indexed="13"/>
      <name val="Arial"/>
    </font>
    <font>
      <i val="1"/>
      <sz val="10"/>
      <color indexed="8"/>
      <name val="Arial"/>
    </font>
    <font>
      <sz val="11"/>
      <color indexed="8"/>
      <name val="Arial"/>
    </font>
    <font>
      <b val="1"/>
      <sz val="12"/>
      <color indexed="14"/>
      <name val="Arial"/>
    </font>
    <font>
      <b val="1"/>
      <sz val="12"/>
      <color indexed="8"/>
      <name val="Arial"/>
    </font>
    <font>
      <b val="1"/>
      <sz val="11"/>
      <color indexed="14"/>
      <name val="Arial"/>
    </font>
    <font>
      <b val="1"/>
      <sz val="11"/>
      <color indexed="8"/>
      <name val="Arial"/>
    </font>
    <font>
      <sz val="10"/>
      <color indexed="14"/>
      <name val="Arial"/>
    </font>
    <font>
      <sz val="16"/>
      <color indexed="8"/>
      <name val="Arial"/>
    </font>
    <font>
      <b val="1"/>
      <u val="single"/>
      <sz val="16"/>
      <color indexed="8"/>
      <name val="Arial"/>
    </font>
    <font>
      <b val="1"/>
      <sz val="16"/>
      <color indexed="14"/>
      <name val="Arial"/>
    </font>
    <font>
      <b val="1"/>
      <sz val="16"/>
      <color indexed="8"/>
      <name val="Arial"/>
    </font>
    <font>
      <sz val="12"/>
      <color indexed="8"/>
      <name val="Arial"/>
    </font>
    <font>
      <i val="1"/>
      <sz val="11"/>
      <color indexed="8"/>
      <name val="Arial"/>
    </font>
    <font>
      <sz val="12"/>
      <color indexed="12"/>
      <name val="Arial"/>
    </font>
    <font>
      <i val="1"/>
      <sz val="12"/>
      <color indexed="8"/>
      <name val="Arial"/>
    </font>
    <font>
      <b val="1"/>
      <sz val="10"/>
      <color indexed="14"/>
      <name val="Arial"/>
    </font>
    <font>
      <sz val="10"/>
      <color indexed="12"/>
      <name val="Arial"/>
    </font>
    <font>
      <sz val="8"/>
      <color indexed="8"/>
      <name val="Arial"/>
    </font>
    <font>
      <sz val="11"/>
      <color indexed="8"/>
      <name val="Helvetica"/>
    </font>
    <font>
      <b val="1"/>
      <sz val="10"/>
      <color indexed="8"/>
      <name val="Helvetica"/>
    </font>
    <font>
      <sz val="10"/>
      <color indexed="8"/>
      <name val="Times New Roman"/>
    </font>
    <font>
      <b val="1"/>
      <sz val="11"/>
      <color indexed="13"/>
      <name val="Arial"/>
    </font>
    <font>
      <sz val="11"/>
      <color indexed="13"/>
      <name val="Arial"/>
    </font>
    <font>
      <b val="1"/>
      <u val="single"/>
      <sz val="10"/>
      <color indexed="8"/>
      <name val="Arial"/>
    </font>
    <font>
      <b val="1"/>
      <sz val="10"/>
      <color indexed="22"/>
      <name val="Arial"/>
    </font>
    <font>
      <b val="1"/>
      <sz val="10"/>
      <color indexed="23"/>
      <name val="Arial"/>
    </font>
    <font>
      <sz val="10"/>
      <color indexed="22"/>
      <name val="Arial"/>
    </font>
    <font>
      <b val="1"/>
      <sz val="10"/>
      <color indexed="12"/>
      <name val="Arial"/>
    </font>
    <font>
      <b val="1"/>
      <u val="single"/>
      <sz val="10"/>
      <color indexed="12"/>
      <name val="Arial"/>
    </font>
    <font>
      <sz val="10"/>
      <color indexed="24"/>
      <name val="Arial"/>
    </font>
    <font>
      <u val="single"/>
      <sz val="10"/>
      <color indexed="12"/>
      <name val="Arial"/>
    </font>
    <font>
      <u val="single"/>
      <sz val="10"/>
      <color indexed="8"/>
      <name val="Arial"/>
    </font>
    <font>
      <b val="1"/>
      <i val="1"/>
      <sz val="10"/>
      <color indexed="8"/>
      <name val="Arial"/>
    </font>
    <font>
      <b val="1"/>
      <sz val="18"/>
      <color indexed="8"/>
      <name val="Arial"/>
    </font>
    <font>
      <b val="1"/>
      <sz val="18"/>
      <color indexed="22"/>
      <name val="Arial"/>
    </font>
    <font>
      <b val="1"/>
      <sz val="9"/>
      <color indexed="8"/>
      <name val="Arial"/>
    </font>
    <font>
      <u val="single"/>
      <sz val="14"/>
      <color indexed="8"/>
      <name val="Arial"/>
    </font>
    <font>
      <b val="1"/>
      <u val="single"/>
      <sz val="18"/>
      <color indexed="8"/>
      <name val="Arial"/>
    </font>
    <font>
      <sz val="10"/>
      <color indexed="8"/>
      <name val="Courier"/>
    </font>
    <font>
      <b val="1"/>
      <u val="single"/>
      <sz val="14"/>
      <color indexed="8"/>
      <name val="Arial"/>
    </font>
    <font>
      <b val="1"/>
      <sz val="10"/>
      <color indexed="8"/>
      <name val="Caecilia"/>
    </font>
    <font>
      <sz val="12"/>
      <color indexed="8"/>
      <name val="Caecilia"/>
    </font>
    <font>
      <b val="1"/>
      <sz val="12"/>
      <color indexed="8"/>
      <name val="Caecilia"/>
    </font>
    <font>
      <b val="1"/>
      <u val="single"/>
      <sz val="12"/>
      <color indexed="8"/>
      <name val="Arial"/>
    </font>
    <font>
      <u val="single"/>
      <sz val="12"/>
      <color indexed="8"/>
      <name val="Arial"/>
    </font>
    <font>
      <sz val="14"/>
      <color indexed="8"/>
      <name val="Arial"/>
    </font>
    <font>
      <sz val="10"/>
      <color indexed="11"/>
      <name val="Arial"/>
    </font>
    <font>
      <b val="1"/>
      <sz val="19"/>
      <color indexed="8"/>
      <name val="Arial"/>
    </font>
    <font>
      <b val="1"/>
      <sz val="8"/>
      <color indexed="8"/>
      <name val="Arial"/>
    </font>
    <font>
      <b val="1"/>
      <sz val="10"/>
      <color indexed="18"/>
      <name val="Arial"/>
    </font>
    <font>
      <b val="1"/>
      <sz val="10"/>
      <color indexed="33"/>
      <name val="Arial"/>
    </font>
    <font>
      <sz val="12"/>
      <color indexed="14"/>
      <name val="Arial"/>
    </font>
    <font>
      <b val="1"/>
      <sz val="14"/>
      <color indexed="14"/>
      <name val="Arial"/>
    </font>
    <font>
      <b val="1"/>
      <u val="single"/>
      <sz val="11"/>
      <color indexed="8"/>
      <name val="Arial"/>
    </font>
    <font>
      <sz val="11"/>
      <color indexed="14"/>
      <name val="Arial"/>
    </font>
    <font>
      <b val="1"/>
      <i val="1"/>
      <sz val="11"/>
      <color indexed="8"/>
      <name val="Arial"/>
    </font>
    <font>
      <sz val="9"/>
      <color indexed="8"/>
      <name val="Arial"/>
    </font>
    <font>
      <b val="1"/>
      <sz val="12"/>
      <color indexed="22"/>
      <name val="Arial"/>
    </font>
    <font>
      <sz val="12"/>
      <color indexed="22"/>
      <name val="Arial"/>
    </font>
    <font>
      <sz val="12"/>
      <color indexed="8"/>
      <name val="Times"/>
    </font>
    <font>
      <sz val="14"/>
      <color indexed="8"/>
      <name val="Times"/>
    </font>
    <font>
      <sz val="10"/>
      <color indexed="8"/>
      <name val="Times"/>
    </font>
    <font>
      <sz val="12"/>
      <color indexed="14"/>
      <name val="Times"/>
    </font>
    <font>
      <b val="1"/>
      <sz val="12"/>
      <color indexed="8"/>
      <name val="Times"/>
    </font>
    <font>
      <b val="1"/>
      <sz val="10"/>
      <color indexed="8"/>
      <name val="Times"/>
    </font>
    <font>
      <sz val="12"/>
      <color indexed="8"/>
      <name val="Times New Roman"/>
    </font>
    <font>
      <b val="1"/>
      <u val="single"/>
      <sz val="12"/>
      <color indexed="8"/>
      <name val="Times New Roman"/>
    </font>
    <font>
      <u val="single"/>
      <sz val="12"/>
      <color indexed="8"/>
      <name val="Times New Roman"/>
    </font>
    <font>
      <b val="1"/>
      <u val="single"/>
      <sz val="12"/>
      <color indexed="14"/>
      <name val="Times New Roman"/>
    </font>
    <font>
      <sz val="12"/>
      <color indexed="14"/>
      <name val="Times New Roman"/>
    </font>
    <font>
      <sz val="11"/>
      <color indexed="8"/>
      <name val="Calibri"/>
    </font>
  </fonts>
  <fills count="1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5"/>
        <bgColor auto="1"/>
      </patternFill>
    </fill>
    <fill>
      <patternFill patternType="solid">
        <fgColor indexed="26"/>
        <bgColor auto="1"/>
      </patternFill>
    </fill>
    <fill>
      <patternFill patternType="solid">
        <fgColor indexed="27"/>
        <bgColor auto="1"/>
      </patternFill>
    </fill>
    <fill>
      <patternFill patternType="solid">
        <fgColor indexed="29"/>
        <bgColor auto="1"/>
      </patternFill>
    </fill>
    <fill>
      <patternFill patternType="solid">
        <fgColor indexed="34"/>
        <bgColor auto="1"/>
      </patternFill>
    </fill>
    <fill>
      <patternFill patternType="solid">
        <fgColor indexed="14"/>
        <bgColor auto="1"/>
      </patternFill>
    </fill>
    <fill>
      <patternFill patternType="solid">
        <fgColor indexed="35"/>
        <bgColor auto="1"/>
      </patternFill>
    </fill>
    <fill>
      <patternFill patternType="solid">
        <fgColor indexed="36"/>
        <bgColor auto="1"/>
      </patternFill>
    </fill>
  </fills>
  <borders count="122">
    <border>
      <left/>
      <right/>
      <top/>
      <bottom/>
      <diagonal/>
    </border>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15"/>
      </right>
      <top style="thin">
        <color indexed="8"/>
      </top>
      <bottom style="thin">
        <color indexed="8"/>
      </bottom>
      <diagonal/>
    </border>
    <border>
      <left style="thin">
        <color indexed="15"/>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color indexed="16"/>
      </left>
      <right>
        <color indexed="16"/>
      </right>
      <top>
        <color indexed="16"/>
      </top>
      <bottom>
        <color indexed="16"/>
      </bottom>
      <diagonal/>
    </border>
    <border>
      <left style="thin">
        <color indexed="15"/>
      </left>
      <right/>
      <top style="thin">
        <color indexed="15"/>
      </top>
      <bottom/>
      <diagonal/>
    </border>
    <border>
      <left/>
      <right/>
      <top style="thin">
        <color indexed="15"/>
      </top>
      <bottom/>
      <diagonal/>
    </border>
    <border>
      <left style="thin">
        <color indexed="15"/>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hair">
        <color indexed="8"/>
      </top>
      <bottom/>
      <diagonal/>
    </border>
    <border>
      <left/>
      <right style="medium">
        <color indexed="8"/>
      </right>
      <top/>
      <bottom/>
      <diagonal/>
    </border>
    <border>
      <left/>
      <right style="thin">
        <color indexed="15"/>
      </right>
      <top/>
      <bottom/>
      <diagonal/>
    </border>
    <border>
      <left/>
      <right/>
      <top style="thin">
        <color indexed="8"/>
      </top>
      <bottom style="hair">
        <color indexed="8"/>
      </bottom>
      <diagonal/>
    </border>
    <border>
      <left style="thin">
        <color indexed="15"/>
      </left>
      <right style="hair">
        <color indexed="8"/>
      </right>
      <top/>
      <bottom/>
      <diagonal/>
    </border>
    <border>
      <left style="hair">
        <color indexed="8"/>
      </left>
      <right/>
      <top style="hair">
        <color indexed="8"/>
      </top>
      <bottom/>
      <diagonal/>
    </border>
    <border>
      <left/>
      <right/>
      <top style="hair">
        <color indexed="8"/>
      </top>
      <bottom style="thin">
        <color indexed="8"/>
      </bottom>
      <diagonal/>
    </border>
    <border>
      <left/>
      <right style="hair">
        <color indexed="8"/>
      </right>
      <top style="hair">
        <color indexed="8"/>
      </top>
      <bottom/>
      <diagonal/>
    </border>
    <border>
      <left style="hair">
        <color indexed="8"/>
      </left>
      <right/>
      <top/>
      <bottom/>
      <diagonal/>
    </border>
    <border>
      <left style="hair">
        <color indexed="8"/>
      </left>
      <right style="thin">
        <color indexed="8"/>
      </right>
      <top/>
      <bottom/>
      <diagonal/>
    </border>
    <border>
      <left style="thin">
        <color indexed="8"/>
      </left>
      <right style="hair">
        <color indexed="8"/>
      </right>
      <top/>
      <bottom/>
      <diagonal/>
    </border>
    <border>
      <left/>
      <right style="hair">
        <color indexed="8"/>
      </right>
      <top/>
      <bottom/>
      <diagonal/>
    </border>
    <border>
      <left style="hair">
        <color indexed="8"/>
      </left>
      <right/>
      <top/>
      <bottom style="hair">
        <color indexed="8"/>
      </bottom>
      <diagonal/>
    </border>
    <border>
      <left/>
      <right style="hair">
        <color indexed="8"/>
      </right>
      <top/>
      <bottom style="hair">
        <color indexed="8"/>
      </bottom>
      <diagonal/>
    </border>
    <border>
      <left style="thin">
        <color indexed="15"/>
      </left>
      <right style="thin">
        <color indexed="8"/>
      </right>
      <top/>
      <bottom/>
      <diagonal/>
    </border>
    <border>
      <left/>
      <right style="medium">
        <color indexed="8"/>
      </right>
      <top/>
      <bottom style="medium">
        <color indexed="8"/>
      </bottom>
      <diagonal/>
    </border>
    <border>
      <left style="medium">
        <color indexed="8"/>
      </left>
      <right/>
      <top/>
      <bottom/>
      <diagonal/>
    </border>
    <border>
      <left/>
      <right/>
      <top style="medium">
        <color indexed="8"/>
      </top>
      <bottom/>
      <diagonal/>
    </border>
    <border>
      <left/>
      <right style="thin">
        <color indexed="15"/>
      </right>
      <top style="thin">
        <color indexed="15"/>
      </top>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15"/>
      </left>
      <right/>
      <top/>
      <bottom style="thin">
        <color indexed="15"/>
      </bottom>
      <diagonal/>
    </border>
    <border>
      <left/>
      <right/>
      <top/>
      <bottom style="thin">
        <color indexed="15"/>
      </bottom>
      <diagonal/>
    </border>
    <border>
      <left/>
      <right style="thin">
        <color indexed="15"/>
      </right>
      <top/>
      <bottom style="thin">
        <color indexed="15"/>
      </bottom>
      <diagonal/>
    </border>
    <border>
      <left style="thin">
        <color indexed="15"/>
      </left>
      <right style="thin">
        <color indexed="15"/>
      </right>
      <top style="thin">
        <color indexed="15"/>
      </top>
      <bottom style="thin">
        <color indexed="15"/>
      </bottom>
      <diagonal/>
    </border>
    <border>
      <left style="thin">
        <color indexed="15"/>
      </left>
      <right style="thin">
        <color indexed="15"/>
      </right>
      <top style="thin">
        <color indexed="15"/>
      </top>
      <bottom/>
      <diagonal/>
    </border>
    <border>
      <left style="thin">
        <color indexed="15"/>
      </left>
      <right/>
      <top style="thin">
        <color indexed="15"/>
      </top>
      <bottom style="thin">
        <color indexed="15"/>
      </bottom>
      <diagonal/>
    </border>
    <border>
      <left/>
      <right style="thin">
        <color indexed="15"/>
      </right>
      <top style="thin">
        <color indexed="15"/>
      </top>
      <bottom style="thin">
        <color indexed="15"/>
      </bottom>
      <diagonal/>
    </border>
    <border>
      <left style="thin">
        <color indexed="15"/>
      </left>
      <right style="thin">
        <color indexed="15"/>
      </right>
      <top/>
      <bottom/>
      <diagonal/>
    </border>
    <border>
      <left style="thin">
        <color indexed="15"/>
      </left>
      <right style="thin">
        <color indexed="15"/>
      </right>
      <top/>
      <bottom style="thin">
        <color indexed="8"/>
      </bottom>
      <diagonal/>
    </border>
    <border>
      <left style="thin">
        <color indexed="15"/>
      </left>
      <right style="thin">
        <color indexed="15"/>
      </right>
      <top style="thin">
        <color indexed="15"/>
      </top>
      <bottom style="thin">
        <color indexed="8"/>
      </bottom>
      <diagonal/>
    </border>
    <border>
      <left style="thin">
        <color indexed="8"/>
      </left>
      <right style="thin">
        <color indexed="8"/>
      </right>
      <top style="thin">
        <color indexed="8"/>
      </top>
      <bottom style="thin">
        <color indexed="15"/>
      </bottom>
      <diagonal/>
    </border>
    <border>
      <left style="thin">
        <color indexed="15"/>
      </left>
      <right style="thin">
        <color indexed="15"/>
      </right>
      <top style="thin">
        <color indexed="8"/>
      </top>
      <bottom style="thin">
        <color indexed="8"/>
      </bottom>
      <diagonal/>
    </border>
    <border>
      <left style="thin">
        <color indexed="8"/>
      </left>
      <right style="thin">
        <color indexed="8"/>
      </right>
      <top style="thin">
        <color indexed="15"/>
      </top>
      <bottom style="thin">
        <color indexed="15"/>
      </bottom>
      <diagonal/>
    </border>
    <border>
      <left style="thin">
        <color indexed="8"/>
      </left>
      <right style="thin">
        <color indexed="8"/>
      </right>
      <top style="thin">
        <color indexed="15"/>
      </top>
      <bottom style="thin">
        <color indexed="8"/>
      </bottom>
      <diagonal/>
    </border>
    <border>
      <left style="thin">
        <color indexed="8"/>
      </left>
      <right style="thin">
        <color indexed="8"/>
      </right>
      <top style="thin">
        <color indexed="15"/>
      </top>
      <bottom/>
      <diagonal/>
    </border>
    <border>
      <left style="thin">
        <color indexed="8"/>
      </left>
      <right style="thin">
        <color indexed="8"/>
      </right>
      <top/>
      <bottom style="thin">
        <color indexed="15"/>
      </bottom>
      <diagonal/>
    </border>
    <border>
      <left style="thin">
        <color indexed="15"/>
      </left>
      <right style="thin">
        <color indexed="15"/>
      </right>
      <top style="thin">
        <color indexed="8"/>
      </top>
      <bottom style="thin">
        <color indexed="15"/>
      </bottom>
      <diagonal/>
    </border>
    <border>
      <left style="thin">
        <color indexed="8"/>
      </left>
      <right style="thin">
        <color indexed="15"/>
      </right>
      <top style="thin">
        <color indexed="15"/>
      </top>
      <bottom style="thin">
        <color indexed="15"/>
      </bottom>
      <diagonal/>
    </border>
    <border>
      <left style="thin">
        <color indexed="8"/>
      </left>
      <right style="thin">
        <color indexed="15"/>
      </right>
      <top style="thin">
        <color indexed="15"/>
      </top>
      <bottom style="thin">
        <color indexed="8"/>
      </bottom>
      <diagonal/>
    </border>
    <border>
      <left style="thin">
        <color indexed="15"/>
      </left>
      <right style="thin">
        <color indexed="8"/>
      </right>
      <top style="thin">
        <color indexed="8"/>
      </top>
      <bottom style="thin">
        <color indexed="15"/>
      </bottom>
      <diagonal/>
    </border>
    <border>
      <left style="thin">
        <color indexed="15"/>
      </left>
      <right style="thin">
        <color indexed="8"/>
      </right>
      <top style="thin">
        <color indexed="15"/>
      </top>
      <bottom style="thin">
        <color indexed="15"/>
      </bottom>
      <diagonal/>
    </border>
    <border>
      <left style="thin">
        <color indexed="15"/>
      </left>
      <right style="thin">
        <color indexed="15"/>
      </right>
      <top style="thin">
        <color indexed="8"/>
      </top>
      <bottom/>
      <diagonal/>
    </border>
    <border>
      <left style="thin">
        <color indexed="15"/>
      </left>
      <right style="thin">
        <color indexed="15"/>
      </right>
      <top/>
      <bottom style="thin">
        <color indexed="15"/>
      </bottom>
      <diagonal/>
    </border>
    <border>
      <left/>
      <right style="thin">
        <color indexed="8"/>
      </right>
      <top style="thin">
        <color indexed="15"/>
      </top>
      <bottom/>
      <diagonal/>
    </border>
    <border>
      <left/>
      <right/>
      <top/>
      <bottom style="thick">
        <color indexed="28"/>
      </bottom>
      <diagonal/>
    </border>
    <border>
      <left style="thin">
        <color indexed="8"/>
      </left>
      <right style="thin">
        <color indexed="8"/>
      </right>
      <top style="thin">
        <color indexed="8"/>
      </top>
      <bottom style="hair">
        <color indexed="8"/>
      </bottom>
      <diagonal/>
    </border>
    <border>
      <left style="thick">
        <color indexed="28"/>
      </left>
      <right style="thick">
        <color indexed="28"/>
      </right>
      <top style="thick">
        <color indexed="28"/>
      </top>
      <bottom style="thick">
        <color indexed="28"/>
      </bottom>
      <diagonal/>
    </border>
    <border>
      <left style="thick">
        <color indexed="28"/>
      </left>
      <right/>
      <top/>
      <bottom/>
      <diagonal/>
    </border>
    <border>
      <left style="thin">
        <color indexed="8"/>
      </left>
      <right style="thin">
        <color indexed="8"/>
      </right>
      <top style="hair">
        <color indexed="8"/>
      </top>
      <bottom style="hair">
        <color indexed="8"/>
      </bottom>
      <diagonal/>
    </border>
    <border>
      <left/>
      <right style="thick">
        <color indexed="28"/>
      </right>
      <top/>
      <bottom/>
      <diagonal/>
    </border>
    <border>
      <left style="thin">
        <color indexed="8"/>
      </left>
      <right style="thin">
        <color indexed="8"/>
      </right>
      <top style="hair">
        <color indexed="8"/>
      </top>
      <bottom style="medium">
        <color indexed="8"/>
      </bottom>
      <diagonal/>
    </border>
    <border>
      <left/>
      <right style="medium">
        <color indexed="8"/>
      </right>
      <top style="hair">
        <color indexed="8"/>
      </top>
      <bottom/>
      <diagonal/>
    </border>
    <border>
      <left style="medium">
        <color indexed="8"/>
      </left>
      <right style="medium">
        <color indexed="8"/>
      </right>
      <top style="hair">
        <color indexed="8"/>
      </top>
      <bottom/>
      <diagonal/>
    </border>
    <border>
      <left style="medium">
        <color indexed="8"/>
      </left>
      <right style="thin">
        <color indexed="8"/>
      </right>
      <top/>
      <bottom/>
      <diagonal/>
    </border>
    <border>
      <left/>
      <right style="thick">
        <color indexed="28"/>
      </right>
      <top/>
      <bottom style="thin">
        <color indexed="8"/>
      </bottom>
      <diagonal/>
    </border>
    <border>
      <left style="thick">
        <color indexed="28"/>
      </left>
      <right/>
      <top/>
      <bottom style="thin">
        <color indexed="8"/>
      </bottom>
      <diagonal/>
    </border>
    <border>
      <left/>
      <right/>
      <top style="thin">
        <color indexed="8"/>
      </top>
      <bottom style="medium">
        <color indexed="14"/>
      </bottom>
      <diagonal/>
    </border>
    <border>
      <left/>
      <right style="thick">
        <color indexed="28"/>
      </right>
      <top style="thin">
        <color indexed="8"/>
      </top>
      <bottom/>
      <diagonal/>
    </border>
    <border>
      <left/>
      <right style="medium">
        <color indexed="14"/>
      </right>
      <top/>
      <bottom/>
      <diagonal/>
    </border>
    <border>
      <left style="medium">
        <color indexed="14"/>
      </left>
      <right style="medium">
        <color indexed="14"/>
      </right>
      <top style="medium">
        <color indexed="14"/>
      </top>
      <bottom style="medium">
        <color indexed="14"/>
      </bottom>
      <diagonal/>
    </border>
    <border>
      <left style="medium">
        <color indexed="14"/>
      </left>
      <right style="medium">
        <color indexed="14"/>
      </right>
      <top style="thick">
        <color indexed="28"/>
      </top>
      <bottom style="medium">
        <color indexed="14"/>
      </bottom>
      <diagonal/>
    </border>
    <border>
      <left/>
      <right style="medium">
        <color indexed="14"/>
      </right>
      <top style="medium">
        <color indexed="14"/>
      </top>
      <bottom/>
      <diagonal/>
    </border>
    <border>
      <left/>
      <right/>
      <top style="medium">
        <color indexed="14"/>
      </top>
      <bottom/>
      <diagonal/>
    </border>
    <border>
      <left style="thin">
        <color indexed="8"/>
      </left>
      <right style="thin">
        <color indexed="8"/>
      </right>
      <top style="hair">
        <color indexed="8"/>
      </top>
      <bottom style="thin">
        <color indexed="8"/>
      </bottom>
      <diagonal/>
    </border>
    <border>
      <left style="medium">
        <color indexed="8"/>
      </left>
      <right style="medium">
        <color indexed="8"/>
      </right>
      <top style="thin">
        <color indexed="8"/>
      </top>
      <bottom/>
      <diagonal/>
    </border>
    <border>
      <left/>
      <right/>
      <top style="thin">
        <color indexed="15"/>
      </top>
      <bottom style="thin">
        <color indexed="15"/>
      </bottom>
      <diagonal/>
    </border>
    <border>
      <left/>
      <right/>
      <top style="thin">
        <color indexed="15"/>
      </top>
      <bottom style="thin">
        <color indexed="8"/>
      </bottom>
      <diagonal/>
    </border>
    <border>
      <left style="thin">
        <color indexed="8"/>
      </left>
      <right style="thin">
        <color indexed="8"/>
      </right>
      <top/>
      <bottom style="hair">
        <color indexed="8"/>
      </bottom>
      <diagonal/>
    </border>
    <border>
      <left style="medium">
        <color indexed="8"/>
      </left>
      <right/>
      <top style="thin">
        <color indexed="8"/>
      </top>
      <bottom/>
      <diagonal/>
    </border>
    <border>
      <left style="thin">
        <color indexed="15"/>
      </left>
      <right/>
      <top/>
      <bottom style="thin">
        <color indexed="8"/>
      </bottom>
      <diagonal/>
    </border>
    <border>
      <left style="thin">
        <color indexed="15"/>
      </left>
      <right/>
      <top style="thin">
        <color indexed="8"/>
      </top>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style="thin">
        <color indexed="8"/>
      </top>
      <bottom style="medium">
        <color indexed="8"/>
      </bottom>
      <diagonal/>
    </border>
    <border>
      <left/>
      <right/>
      <top style="medium">
        <color indexed="8"/>
      </top>
      <bottom style="thin">
        <color indexed="8"/>
      </bottom>
      <diagonal/>
    </border>
    <border>
      <left/>
      <right/>
      <top/>
      <bottom style="medium">
        <color indexed="8"/>
      </bottom>
      <diagonal/>
    </border>
    <border>
      <left/>
      <right style="thin">
        <color indexed="15"/>
      </right>
      <top/>
      <bottom style="thin">
        <color indexed="8"/>
      </bottom>
      <diagonal/>
    </border>
    <border>
      <left/>
      <right style="thin">
        <color indexed="15"/>
      </right>
      <top style="thin">
        <color indexed="8"/>
      </top>
      <bottom/>
      <diagonal/>
    </border>
    <border>
      <left style="thin">
        <color indexed="15"/>
      </left>
      <right style="thin">
        <color indexed="8"/>
      </right>
      <top style="thin">
        <color indexed="15"/>
      </top>
      <bottom/>
      <diagonal/>
    </border>
    <border>
      <left style="thin">
        <color indexed="8"/>
      </left>
      <right/>
      <top style="thin">
        <color indexed="15"/>
      </top>
      <bottom/>
      <diagonal/>
    </border>
    <border>
      <left/>
      <right style="thick">
        <color indexed="8"/>
      </right>
      <top style="thin">
        <color indexed="15"/>
      </top>
      <bottom/>
      <diagonal/>
    </border>
    <border>
      <left style="thick">
        <color indexed="8"/>
      </left>
      <right/>
      <top style="thin">
        <color indexed="15"/>
      </top>
      <bottom/>
      <diagonal/>
    </border>
    <border>
      <left/>
      <right style="thick">
        <color indexed="8"/>
      </right>
      <top/>
      <bottom/>
      <diagonal/>
    </border>
    <border>
      <left style="thick">
        <color indexed="8"/>
      </left>
      <right/>
      <top/>
      <bottom/>
      <diagonal/>
    </border>
    <border>
      <left style="thin">
        <color indexed="8"/>
      </left>
      <right style="thick">
        <color indexed="8"/>
      </right>
      <top/>
      <bottom/>
      <diagonal/>
    </border>
    <border>
      <left style="thin">
        <color indexed="15"/>
      </left>
      <right/>
      <top/>
      <bottom style="thick">
        <color indexed="8"/>
      </bottom>
      <diagonal/>
    </border>
    <border>
      <left/>
      <right/>
      <top/>
      <bottom style="thick">
        <color indexed="8"/>
      </bottom>
      <diagonal/>
    </border>
    <border>
      <left/>
      <right/>
      <top style="thin">
        <color indexed="8"/>
      </top>
      <bottom style="thick">
        <color indexed="8"/>
      </bottom>
      <diagonal/>
    </border>
    <border>
      <left/>
      <right style="thick">
        <color indexed="8"/>
      </right>
      <top/>
      <bottom style="thick">
        <color indexed="8"/>
      </bottom>
      <diagonal/>
    </border>
    <border>
      <left style="thin">
        <color indexed="15"/>
      </left>
      <right/>
      <top style="thick">
        <color indexed="8"/>
      </top>
      <bottom style="thin">
        <color indexed="8"/>
      </bottom>
      <diagonal/>
    </border>
    <border>
      <left/>
      <right/>
      <top style="thick">
        <color indexed="8"/>
      </top>
      <bottom style="thin">
        <color indexed="8"/>
      </bottom>
      <diagonal/>
    </border>
  </borders>
  <cellStyleXfs count="1">
    <xf numFmtId="0" fontId="0" applyNumberFormat="0" applyFont="1" applyFill="0" applyBorder="0" applyAlignment="1" applyProtection="0">
      <alignment vertical="top" wrapText="1"/>
    </xf>
  </cellStyleXfs>
  <cellXfs count="1299">
    <xf numFmtId="0" fontId="0" applyNumberFormat="0" applyFont="1" applyFill="0" applyBorder="0" applyAlignment="1" applyProtection="0">
      <alignment vertical="top" wrapText="1"/>
    </xf>
    <xf numFmtId="0" fontId="0" applyNumberFormat="0" applyFont="1" applyFill="0" applyBorder="0" applyAlignment="1" applyProtection="0">
      <alignment vertical="top" wrapText="1"/>
    </xf>
    <xf numFmtId="0" fontId="1" applyNumberFormat="0" applyFont="1" applyFill="0" applyBorder="0" applyAlignment="0" applyProtection="0"/>
    <xf numFmtId="0" fontId="0" fillId="2" applyNumberFormat="0" applyFont="1" applyFill="1" applyBorder="0" applyAlignment="0" applyProtection="0"/>
    <xf numFmtId="0" fontId="0" fillId="3" applyNumberFormat="0" applyFont="1" applyFill="1" applyBorder="0" applyAlignment="0" applyProtection="0"/>
    <xf numFmtId="0" fontId="3" fillId="3" applyNumberFormat="0" applyFont="1" applyFill="1" applyBorder="0" applyAlignment="0" applyProtection="0"/>
    <xf numFmtId="0" fontId="4" applyNumberFormat="1" applyFont="1" applyFill="0" applyBorder="0" applyAlignment="1" applyProtection="0">
      <alignment vertical="bottom"/>
    </xf>
    <xf numFmtId="0" fontId="6" fillId="4" borderId="1" applyNumberFormat="1" applyFont="1" applyFill="1" applyBorder="1" applyAlignment="1" applyProtection="0">
      <alignment vertical="bottom"/>
    </xf>
    <xf numFmtId="1" fontId="6" fillId="4" borderId="1" applyNumberFormat="1" applyFont="1" applyFill="1" applyBorder="1" applyAlignment="1" applyProtection="0">
      <alignment vertical="bottom"/>
    </xf>
    <xf numFmtId="1" fontId="4" fillId="4" borderId="1" applyNumberFormat="1" applyFont="1" applyFill="1" applyBorder="1" applyAlignment="1" applyProtection="0">
      <alignment vertical="bottom"/>
    </xf>
    <xf numFmtId="1" fontId="7" fillId="4" borderId="1" applyNumberFormat="1" applyFont="1" applyFill="1" applyBorder="1" applyAlignment="1" applyProtection="0">
      <alignment vertical="bottom"/>
    </xf>
    <xf numFmtId="0" fontId="8" fillId="4" borderId="1" applyNumberFormat="1" applyFont="1" applyFill="1" applyBorder="1" applyAlignment="1" applyProtection="0">
      <alignment vertical="bottom"/>
    </xf>
    <xf numFmtId="1" fontId="9" fillId="4" borderId="1" applyNumberFormat="1" applyFont="1" applyFill="1" applyBorder="1" applyAlignment="1" applyProtection="0">
      <alignment vertical="bottom"/>
    </xf>
    <xf numFmtId="1" fontId="10" fillId="4" borderId="1" applyNumberFormat="1" applyFont="1" applyFill="1" applyBorder="1" applyAlignment="1" applyProtection="0">
      <alignment vertical="bottom"/>
    </xf>
    <xf numFmtId="0" fontId="11" fillId="4" borderId="1" applyNumberFormat="1" applyFont="1" applyFill="1" applyBorder="1" applyAlignment="1" applyProtection="0">
      <alignment vertical="bottom"/>
    </xf>
    <xf numFmtId="1" fontId="11" fillId="4" borderId="1" applyNumberFormat="1" applyFont="1" applyFill="1" applyBorder="1" applyAlignment="1" applyProtection="0">
      <alignment vertical="bottom"/>
    </xf>
    <xf numFmtId="0" fontId="12" fillId="4" borderId="2" applyNumberFormat="1" applyFont="1" applyFill="1" applyBorder="1" applyAlignment="1" applyProtection="0">
      <alignment vertical="bottom"/>
    </xf>
    <xf numFmtId="1" fontId="13" fillId="4" borderId="2" applyNumberFormat="1" applyFont="1" applyFill="1" applyBorder="1" applyAlignment="1" applyProtection="0">
      <alignment vertical="bottom"/>
    </xf>
    <xf numFmtId="1" fontId="13" fillId="4" borderId="1" applyNumberFormat="1" applyFont="1" applyFill="1" applyBorder="1" applyAlignment="1" applyProtection="0">
      <alignment vertical="bottom"/>
    </xf>
    <xf numFmtId="1" fontId="14" fillId="4" borderId="3" applyNumberFormat="1" applyFont="1" applyFill="1" applyBorder="1" applyAlignment="1" applyProtection="0">
      <alignment vertical="bottom"/>
    </xf>
    <xf numFmtId="0" fontId="15" fillId="4" borderId="3" applyNumberFormat="1" applyFont="1" applyFill="1" applyBorder="1" applyAlignment="1" applyProtection="0">
      <alignment vertical="bottom"/>
    </xf>
    <xf numFmtId="1" fontId="15" fillId="4" borderId="3" applyNumberFormat="1" applyFont="1" applyFill="1" applyBorder="1" applyAlignment="1" applyProtection="0">
      <alignment vertical="bottom"/>
    </xf>
    <xf numFmtId="0" fontId="15" fillId="4" borderId="4" applyNumberFormat="1" applyFont="1" applyFill="1" applyBorder="1" applyAlignment="1" applyProtection="0">
      <alignment vertical="bottom" wrapText="1"/>
    </xf>
    <xf numFmtId="1" fontId="4" fillId="4" borderId="5" applyNumberFormat="1" applyFont="1" applyFill="1" applyBorder="1" applyAlignment="1" applyProtection="0">
      <alignment vertical="bottom"/>
    </xf>
    <xf numFmtId="1" fontId="15" fillId="4" borderId="6" applyNumberFormat="1" applyFont="1" applyFill="1" applyBorder="1" applyAlignment="1" applyProtection="0">
      <alignment vertical="bottom"/>
    </xf>
    <xf numFmtId="1" fontId="15" fillId="4" borderId="1" applyNumberFormat="1" applyFont="1" applyFill="1" applyBorder="1" applyAlignment="1" applyProtection="0">
      <alignment vertical="bottom"/>
    </xf>
    <xf numFmtId="0" fontId="4" fillId="4" borderId="7" applyNumberFormat="1" applyFont="1" applyFill="1" applyBorder="1" applyAlignment="1" applyProtection="0">
      <alignment vertical="bottom"/>
    </xf>
    <xf numFmtId="0" fontId="16" fillId="4" borderId="7" applyNumberFormat="1" applyFont="1" applyFill="1" applyBorder="1" applyAlignment="1" applyProtection="0">
      <alignment vertical="bottom"/>
    </xf>
    <xf numFmtId="0" fontId="16" fillId="4" borderId="8" applyNumberFormat="1" applyFont="1" applyFill="1" applyBorder="1" applyAlignment="1" applyProtection="0">
      <alignment vertical="bottom"/>
    </xf>
    <xf numFmtId="1" fontId="4" fillId="4" borderId="9" applyNumberFormat="1" applyFont="1" applyFill="1" applyBorder="1" applyAlignment="1" applyProtection="0">
      <alignment vertical="bottom"/>
    </xf>
    <xf numFmtId="0" fontId="8" fillId="4" borderId="6" applyNumberFormat="1" applyFont="1" applyFill="1" applyBorder="1" applyAlignment="1" applyProtection="0">
      <alignment vertical="bottom"/>
    </xf>
    <xf numFmtId="0" fontId="4" fillId="4" borderId="10" applyNumberFormat="1" applyFont="1" applyFill="1" applyBorder="1" applyAlignment="1" applyProtection="0">
      <alignment vertical="bottom"/>
    </xf>
    <xf numFmtId="0" fontId="16" fillId="4" borderId="10" applyNumberFormat="1" applyFont="1" applyFill="1" applyBorder="1" applyAlignment="1" applyProtection="0">
      <alignment vertical="bottom"/>
    </xf>
    <xf numFmtId="0" fontId="16" fillId="4" borderId="6" applyNumberFormat="1" applyFont="1" applyFill="1" applyBorder="1" applyAlignment="1" applyProtection="0">
      <alignment vertical="bottom"/>
    </xf>
    <xf numFmtId="1" fontId="4" fillId="4" borderId="11" applyNumberFormat="1" applyFont="1" applyFill="1" applyBorder="1" applyAlignment="1" applyProtection="0">
      <alignment vertical="bottom"/>
    </xf>
    <xf numFmtId="1" fontId="4" fillId="4" borderId="10" applyNumberFormat="1" applyFont="1" applyFill="1" applyBorder="1" applyAlignment="1" applyProtection="0">
      <alignment vertical="bottom"/>
    </xf>
    <xf numFmtId="1" fontId="4" fillId="4" borderId="6" applyNumberFormat="1" applyFont="1" applyFill="1" applyBorder="1" applyAlignment="1" applyProtection="0">
      <alignment vertical="bottom"/>
    </xf>
    <xf numFmtId="1" fontId="4" fillId="4" borderId="12" applyNumberFormat="1" applyFont="1" applyFill="1" applyBorder="1" applyAlignment="1" applyProtection="0">
      <alignment vertical="bottom"/>
    </xf>
    <xf numFmtId="1" fontId="4" fillId="4" borderId="13" applyNumberFormat="1" applyFont="1" applyFill="1" applyBorder="1" applyAlignment="1" applyProtection="0">
      <alignment vertical="bottom"/>
    </xf>
    <xf numFmtId="1" fontId="4" fillId="4" borderId="14" applyNumberFormat="1" applyFont="1" applyFill="1" applyBorder="1" applyAlignment="1" applyProtection="0">
      <alignment vertical="bottom"/>
    </xf>
    <xf numFmtId="0" fontId="8" fillId="4" borderId="15" applyNumberFormat="1" applyFont="1" applyFill="1" applyBorder="1" applyAlignment="1" applyProtection="0">
      <alignment vertical="bottom"/>
    </xf>
    <xf numFmtId="14" fontId="4" fillId="4" borderId="1" applyNumberFormat="1" applyFont="1" applyFill="1" applyBorder="1" applyAlignment="1" applyProtection="0">
      <alignment vertical="bottom"/>
    </xf>
    <xf numFmtId="0" fontId="4" applyNumberFormat="1" applyFont="1" applyFill="0" applyBorder="0" applyAlignment="1" applyProtection="0">
      <alignment vertical="bottom"/>
    </xf>
    <xf numFmtId="0" fontId="17" borderId="16" applyNumberFormat="1" applyFont="1" applyFill="0" applyBorder="1" applyAlignment="1" applyProtection="0">
      <alignment vertical="bottom"/>
    </xf>
    <xf numFmtId="1" fontId="17" fillId="4" borderId="17" applyNumberFormat="1" applyFont="1" applyFill="1" applyBorder="1" applyAlignment="1" applyProtection="0">
      <alignment vertical="bottom"/>
    </xf>
    <xf numFmtId="0" fontId="18" fillId="4" borderId="18" applyNumberFormat="1" applyFont="1" applyFill="1" applyBorder="1" applyAlignment="1" applyProtection="0">
      <alignment vertical="center"/>
    </xf>
    <xf numFmtId="59" fontId="19" fillId="4" borderId="18" applyNumberFormat="1" applyFont="1" applyFill="1" applyBorder="1" applyAlignment="1" applyProtection="0">
      <alignment vertical="center"/>
    </xf>
    <xf numFmtId="59" fontId="17" fillId="4" borderId="18" applyNumberFormat="1" applyFont="1" applyFill="1" applyBorder="1" applyAlignment="1" applyProtection="0">
      <alignment vertical="bottom"/>
    </xf>
    <xf numFmtId="1" fontId="4" borderId="18" applyNumberFormat="1" applyFont="1" applyFill="0" applyBorder="1" applyAlignment="1" applyProtection="0">
      <alignment vertical="bottom"/>
    </xf>
    <xf numFmtId="0" fontId="17" borderId="18" applyNumberFormat="1" applyFont="1" applyFill="0" applyBorder="1" applyAlignment="1" applyProtection="0">
      <alignment vertical="bottom"/>
    </xf>
    <xf numFmtId="0" fontId="20" borderId="18" applyNumberFormat="1" applyFont="1" applyFill="0" applyBorder="1" applyAlignment="1" applyProtection="0">
      <alignment vertical="bottom"/>
    </xf>
    <xf numFmtId="1" fontId="17" fillId="4" borderId="19" applyNumberFormat="1" applyFont="1" applyFill="1" applyBorder="1" applyAlignment="1" applyProtection="0">
      <alignment vertical="bottom"/>
    </xf>
    <xf numFmtId="59" fontId="18" fillId="4" borderId="2" applyNumberFormat="1" applyFont="1" applyFill="1" applyBorder="1" applyAlignment="1" applyProtection="0">
      <alignment vertical="center"/>
    </xf>
    <xf numFmtId="59" fontId="19" fillId="4" borderId="2" applyNumberFormat="1" applyFont="1" applyFill="1" applyBorder="1" applyAlignment="1" applyProtection="0">
      <alignment vertical="center"/>
    </xf>
    <xf numFmtId="59" fontId="17" fillId="4" borderId="2" applyNumberFormat="1" applyFont="1" applyFill="1" applyBorder="1" applyAlignment="1" applyProtection="0">
      <alignment vertical="bottom"/>
    </xf>
    <xf numFmtId="59" fontId="17" fillId="4" borderId="1" applyNumberFormat="1" applyFont="1" applyFill="1" applyBorder="1" applyAlignment="1" applyProtection="0">
      <alignment vertical="bottom"/>
    </xf>
    <xf numFmtId="1" fontId="4" borderId="1" applyNumberFormat="1" applyFont="1" applyFill="0" applyBorder="1" applyAlignment="1" applyProtection="0">
      <alignment vertical="bottom"/>
    </xf>
    <xf numFmtId="1" fontId="20" borderId="1" applyNumberFormat="1" applyFont="1" applyFill="0" applyBorder="1" applyAlignment="1" applyProtection="0">
      <alignment vertical="bottom"/>
    </xf>
    <xf numFmtId="0" fontId="4" borderId="16" applyNumberFormat="1" applyFont="1" applyFill="0" applyBorder="1" applyAlignment="1" applyProtection="0">
      <alignment vertical="bottom"/>
    </xf>
    <xf numFmtId="0" fontId="13" borderId="20" applyNumberFormat="1" applyFont="1" applyFill="0" applyBorder="1" applyAlignment="1" applyProtection="0">
      <alignment horizontal="center" vertical="bottom"/>
    </xf>
    <xf numFmtId="1" fontId="13" borderId="21" applyNumberFormat="1" applyFont="1" applyFill="0" applyBorder="1" applyAlignment="1" applyProtection="0">
      <alignment horizontal="center" vertical="bottom"/>
    </xf>
    <xf numFmtId="1" fontId="13" borderId="22" applyNumberFormat="1" applyFont="1" applyFill="0" applyBorder="1" applyAlignment="1" applyProtection="0">
      <alignment horizontal="center" vertical="bottom"/>
    </xf>
    <xf numFmtId="0" fontId="4" borderId="1" applyNumberFormat="1" applyFont="1" applyFill="0" applyBorder="1" applyAlignment="1" applyProtection="0">
      <alignment vertical="bottom"/>
    </xf>
    <xf numFmtId="1" fontId="4" borderId="11" applyNumberFormat="1" applyFont="1" applyFill="0" applyBorder="1" applyAlignment="1" applyProtection="0">
      <alignment horizontal="left" vertical="bottom"/>
    </xf>
    <xf numFmtId="0" fontId="21" fillId="5" borderId="20" applyNumberFormat="1" applyFont="1" applyFill="1" applyBorder="1" applyAlignment="1" applyProtection="0">
      <alignment horizontal="left" vertical="center"/>
    </xf>
    <xf numFmtId="1" fontId="4" fillId="5" borderId="21" applyNumberFormat="1" applyFont="1" applyFill="1" applyBorder="1" applyAlignment="1" applyProtection="0">
      <alignment vertical="bottom"/>
    </xf>
    <xf numFmtId="1" fontId="4" fillId="5" borderId="22" applyNumberFormat="1" applyFont="1" applyFill="1" applyBorder="1" applyAlignment="1" applyProtection="0">
      <alignment vertical="bottom"/>
    </xf>
    <xf numFmtId="1" fontId="10" borderId="1" applyNumberFormat="1" applyFont="1" applyFill="0" applyBorder="1" applyAlignment="1" applyProtection="0">
      <alignment vertical="bottom"/>
    </xf>
    <xf numFmtId="0" fontId="21" fillId="6" borderId="20" applyNumberFormat="1" applyFont="1" applyFill="1" applyBorder="1" applyAlignment="1" applyProtection="0">
      <alignment horizontal="left" vertical="center"/>
    </xf>
    <xf numFmtId="1" fontId="4" fillId="6" borderId="21" applyNumberFormat="1" applyFont="1" applyFill="1" applyBorder="1" applyAlignment="1" applyProtection="0">
      <alignment vertical="bottom"/>
    </xf>
    <xf numFmtId="1" fontId="4" fillId="6" borderId="22" applyNumberFormat="1" applyFont="1" applyFill="1" applyBorder="1" applyAlignment="1" applyProtection="0">
      <alignment vertical="bottom"/>
    </xf>
    <xf numFmtId="0" fontId="21" fillId="7" borderId="20" applyNumberFormat="1" applyFont="1" applyFill="1" applyBorder="1" applyAlignment="1" applyProtection="0">
      <alignment horizontal="left" vertical="center"/>
    </xf>
    <xf numFmtId="1" fontId="4" fillId="7" borderId="21" applyNumberFormat="1" applyFont="1" applyFill="1" applyBorder="1" applyAlignment="1" applyProtection="0">
      <alignment vertical="bottom"/>
    </xf>
    <xf numFmtId="1" fontId="4" fillId="7" borderId="22" applyNumberFormat="1" applyFont="1" applyFill="1" applyBorder="1" applyAlignment="1" applyProtection="0">
      <alignment vertical="bottom"/>
    </xf>
    <xf numFmtId="0" fontId="21" borderId="20" applyNumberFormat="1" applyFont="1" applyFill="0" applyBorder="1" applyAlignment="1" applyProtection="0">
      <alignment horizontal="left" vertical="center"/>
    </xf>
    <xf numFmtId="1" fontId="4" borderId="21" applyNumberFormat="1" applyFont="1" applyFill="0" applyBorder="1" applyAlignment="1" applyProtection="0">
      <alignment vertical="bottom"/>
    </xf>
    <xf numFmtId="1" fontId="4" borderId="22" applyNumberFormat="1" applyFont="1" applyFill="0" applyBorder="1" applyAlignment="1" applyProtection="0">
      <alignment vertical="bottom"/>
    </xf>
    <xf numFmtId="1" fontId="22" borderId="1" applyNumberFormat="1" applyFont="1" applyFill="0" applyBorder="1" applyAlignment="1" applyProtection="0">
      <alignment vertical="bottom"/>
    </xf>
    <xf numFmtId="0" fontId="4" fillId="6" borderId="11" applyNumberFormat="1" applyFont="1" applyFill="1" applyBorder="1" applyAlignment="1" applyProtection="0">
      <alignment horizontal="left" vertical="bottom"/>
    </xf>
    <xf numFmtId="1" fontId="21" borderId="15" applyNumberFormat="1" applyFont="1" applyFill="0" applyBorder="1" applyAlignment="1" applyProtection="0">
      <alignment horizontal="left" vertical="center"/>
    </xf>
    <xf numFmtId="1" fontId="4" borderId="15" applyNumberFormat="1" applyFont="1" applyFill="0" applyBorder="1" applyAlignment="1" applyProtection="0">
      <alignment vertical="bottom"/>
    </xf>
    <xf numFmtId="0" fontId="4" fillId="6" borderId="11" applyNumberFormat="1" applyFont="1" applyFill="1" applyBorder="1" applyAlignment="1" applyProtection="0">
      <alignment vertical="bottom"/>
    </xf>
    <xf numFmtId="1" fontId="21" fillId="4" borderId="19" applyNumberFormat="1" applyFont="1" applyFill="1" applyBorder="1" applyAlignment="1" applyProtection="0">
      <alignment vertical="bottom"/>
    </xf>
    <xf numFmtId="59" fontId="23" fillId="4" borderId="2" applyNumberFormat="1" applyFont="1" applyFill="1" applyBorder="1" applyAlignment="1" applyProtection="0">
      <alignment vertical="bottom"/>
    </xf>
    <xf numFmtId="59" fontId="12" fillId="4" borderId="1" applyNumberFormat="1" applyFont="1" applyFill="1" applyBorder="1" applyAlignment="1" applyProtection="0">
      <alignment vertical="bottom"/>
    </xf>
    <xf numFmtId="59" fontId="23" fillId="4" borderId="1" applyNumberFormat="1" applyFont="1" applyFill="1" applyBorder="1" applyAlignment="1" applyProtection="0">
      <alignment vertical="bottom"/>
    </xf>
    <xf numFmtId="59" fontId="21" fillId="4" borderId="1" applyNumberFormat="1" applyFont="1" applyFill="1" applyBorder="1" applyAlignment="1" applyProtection="0">
      <alignment vertical="bottom"/>
    </xf>
    <xf numFmtId="59" fontId="21" fillId="4" borderId="23" applyNumberFormat="1" applyFont="1" applyFill="1" applyBorder="1" applyAlignment="1" applyProtection="0">
      <alignment vertical="bottom"/>
    </xf>
    <xf numFmtId="0" fontId="4" borderId="11" applyNumberFormat="1" applyFont="1" applyFill="0" applyBorder="1" applyAlignment="1" applyProtection="0">
      <alignment horizontal="left" vertical="bottom"/>
    </xf>
    <xf numFmtId="0" fontId="4" borderId="6" applyNumberFormat="1" applyFont="1" applyFill="0" applyBorder="1" applyAlignment="1" applyProtection="0">
      <alignment vertical="bottom"/>
    </xf>
    <xf numFmtId="0" fontId="4" borderId="24" applyNumberFormat="1" applyFont="1" applyFill="0" applyBorder="1" applyAlignment="1" applyProtection="0">
      <alignment vertical="bottom"/>
    </xf>
    <xf numFmtId="15" fontId="4" borderId="1" applyNumberFormat="1" applyFont="1" applyFill="0" applyBorder="1" applyAlignment="1" applyProtection="0">
      <alignment vertical="bottom"/>
    </xf>
    <xf numFmtId="0" fontId="4" borderId="25" applyNumberFormat="1" applyFont="1" applyFill="0" applyBorder="1" applyAlignment="1" applyProtection="0">
      <alignment vertical="bottom"/>
    </xf>
    <xf numFmtId="0" fontId="21" fillId="4" borderId="11" applyNumberFormat="1" applyFont="1" applyFill="1" applyBorder="1" applyAlignment="1" applyProtection="0">
      <alignment horizontal="left" vertical="bottom"/>
    </xf>
    <xf numFmtId="0" fontId="21" fillId="5" borderId="3" applyNumberFormat="1" applyFont="1" applyFill="1" applyBorder="1" applyAlignment="1" applyProtection="0">
      <alignment horizontal="center" vertical="bottom"/>
    </xf>
    <xf numFmtId="0" fontId="13" fillId="4" borderId="6" applyNumberFormat="1" applyFont="1" applyFill="1" applyBorder="1" applyAlignment="1" applyProtection="0">
      <alignment vertical="bottom"/>
    </xf>
    <xf numFmtId="0" fontId="21" fillId="4" borderId="11" applyNumberFormat="1" applyFont="1" applyFill="1" applyBorder="1" applyAlignment="1" applyProtection="0">
      <alignment vertical="bottom"/>
    </xf>
    <xf numFmtId="59" fontId="21" fillId="5" borderId="3" applyNumberFormat="1" applyFont="1" applyFill="1" applyBorder="1" applyAlignment="1" applyProtection="0">
      <alignment vertical="bottom"/>
    </xf>
    <xf numFmtId="0" fontId="21" fillId="4" borderId="6" applyNumberFormat="1" applyFont="1" applyFill="1" applyBorder="1" applyAlignment="1" applyProtection="0">
      <alignment vertical="bottom"/>
    </xf>
    <xf numFmtId="59" fontId="21" fillId="5" borderId="3" applyNumberFormat="1" applyFont="1" applyFill="1" applyBorder="1" applyAlignment="1" applyProtection="0">
      <alignment horizontal="center" vertical="bottom"/>
    </xf>
    <xf numFmtId="59" fontId="12" fillId="4" borderId="6" applyNumberFormat="1" applyFont="1" applyFill="1" applyBorder="1" applyAlignment="1" applyProtection="0">
      <alignment vertical="bottom"/>
    </xf>
    <xf numFmtId="59" fontId="21" borderId="1" applyNumberFormat="1" applyFont="1" applyFill="0" applyBorder="1" applyAlignment="1" applyProtection="0">
      <alignment vertical="bottom"/>
    </xf>
    <xf numFmtId="59" fontId="21" borderId="21" applyNumberFormat="1" applyFont="1" applyFill="0" applyBorder="1" applyAlignment="1" applyProtection="0">
      <alignment vertical="bottom"/>
    </xf>
    <xf numFmtId="59" fontId="21" fillId="4" borderId="11" applyNumberFormat="1" applyFont="1" applyFill="1" applyBorder="1" applyAlignment="1" applyProtection="0">
      <alignment horizontal="left" vertical="bottom"/>
    </xf>
    <xf numFmtId="1" fontId="21" fillId="5" borderId="3" applyNumberFormat="1" applyFont="1" applyFill="1" applyBorder="1" applyAlignment="1" applyProtection="0">
      <alignment horizontal="center" vertical="bottom"/>
    </xf>
    <xf numFmtId="59" fontId="23" fillId="4" borderId="6" applyNumberFormat="1" applyFont="1" applyFill="1" applyBorder="1" applyAlignment="1" applyProtection="0">
      <alignment vertical="bottom"/>
    </xf>
    <xf numFmtId="59" fontId="21" fillId="4" borderId="6" applyNumberFormat="1" applyFont="1" applyFill="1" applyBorder="1" applyAlignment="1" applyProtection="0">
      <alignment vertical="bottom"/>
    </xf>
    <xf numFmtId="59" fontId="21" borderId="15" applyNumberFormat="1" applyFont="1" applyFill="0" applyBorder="1" applyAlignment="1" applyProtection="0">
      <alignment vertical="bottom"/>
    </xf>
    <xf numFmtId="1" fontId="4" borderId="1" applyNumberFormat="1" applyFont="1" applyFill="0" applyBorder="1" applyAlignment="1" applyProtection="0">
      <alignment horizontal="left" vertical="bottom"/>
    </xf>
    <xf numFmtId="0" fontId="24" fillId="4" borderId="1" applyNumberFormat="1" applyFont="1" applyFill="1" applyBorder="1" applyAlignment="1" applyProtection="0">
      <alignment vertical="bottom"/>
    </xf>
    <xf numFmtId="59" fontId="21" fillId="4" borderId="2" applyNumberFormat="1" applyFont="1" applyFill="1" applyBorder="1" applyAlignment="1" applyProtection="0">
      <alignment horizontal="center" vertical="bottom"/>
    </xf>
    <xf numFmtId="0" fontId="21" fillId="4" borderId="2" applyNumberFormat="1" applyFont="1" applyFill="1" applyBorder="1" applyAlignment="1" applyProtection="0">
      <alignment vertical="bottom"/>
    </xf>
    <xf numFmtId="0" fontId="25" borderId="2" applyNumberFormat="1" applyFont="1" applyFill="0" applyBorder="1" applyAlignment="1" applyProtection="0">
      <alignment horizontal="right" vertical="bottom"/>
    </xf>
    <xf numFmtId="59" fontId="4" borderId="1" applyNumberFormat="1" applyFont="1" applyFill="0" applyBorder="1" applyAlignment="1" applyProtection="0">
      <alignment vertical="bottom"/>
    </xf>
    <xf numFmtId="0" fontId="21" borderId="11" applyNumberFormat="1" applyFont="1" applyFill="0" applyBorder="1" applyAlignment="1" applyProtection="0">
      <alignment vertical="bottom"/>
    </xf>
    <xf numFmtId="1" fontId="4" fillId="5" borderId="3" applyNumberFormat="1" applyFont="1" applyFill="1" applyBorder="1" applyAlignment="1" applyProtection="0">
      <alignment horizontal="center" vertical="bottom"/>
    </xf>
    <xf numFmtId="1" fontId="4" borderId="6" applyNumberFormat="1" applyFont="1" applyFill="0" applyBorder="1" applyAlignment="1" applyProtection="0">
      <alignment vertical="bottom"/>
    </xf>
    <xf numFmtId="60" fontId="4" fillId="5" borderId="3" applyNumberFormat="1" applyFont="1" applyFill="1" applyBorder="1" applyAlignment="1" applyProtection="0">
      <alignment horizontal="center" vertical="bottom"/>
    </xf>
    <xf numFmtId="59" fontId="21" fillId="4" borderId="21" applyNumberFormat="1" applyFont="1" applyFill="1" applyBorder="1" applyAlignment="1" applyProtection="0">
      <alignment vertical="bottom"/>
    </xf>
    <xf numFmtId="0" fontId="4" fillId="5" borderId="3" applyNumberFormat="1" applyFont="1" applyFill="1" applyBorder="1" applyAlignment="1" applyProtection="0">
      <alignment horizontal="center" vertical="bottom"/>
    </xf>
    <xf numFmtId="59" fontId="26" borderId="26" applyNumberFormat="1" applyFont="1" applyFill="0" applyBorder="1" applyAlignment="1" applyProtection="0">
      <alignment vertical="bottom"/>
    </xf>
    <xf numFmtId="61" fontId="4" fillId="5" borderId="3" applyNumberFormat="1" applyFont="1" applyFill="1" applyBorder="1" applyAlignment="1" applyProtection="0">
      <alignment horizontal="center" vertical="bottom"/>
    </xf>
    <xf numFmtId="1" fontId="21" fillId="4" borderId="27" applyNumberFormat="1" applyFont="1" applyFill="1" applyBorder="1" applyAlignment="1" applyProtection="0">
      <alignment vertical="bottom"/>
    </xf>
    <xf numFmtId="0" fontId="6" fillId="4" borderId="28" applyNumberFormat="1" applyFont="1" applyFill="1" applyBorder="1" applyAlignment="1" applyProtection="0">
      <alignment horizontal="left" vertical="bottom"/>
    </xf>
    <xf numFmtId="59" fontId="21" fillId="4" borderId="29" applyNumberFormat="1" applyFont="1" applyFill="1" applyBorder="1" applyAlignment="1" applyProtection="0">
      <alignment horizontal="center" vertical="bottom"/>
    </xf>
    <xf numFmtId="1" fontId="4" borderId="30" applyNumberFormat="1" applyFont="1" applyFill="0" applyBorder="1" applyAlignment="1" applyProtection="0">
      <alignment vertical="bottom"/>
    </xf>
    <xf numFmtId="59" fontId="21" fillId="4" borderId="31" applyNumberFormat="1" applyFont="1" applyFill="1" applyBorder="1" applyAlignment="1" applyProtection="0">
      <alignment vertical="bottom"/>
    </xf>
    <xf numFmtId="59" fontId="6" fillId="4" borderId="1" applyNumberFormat="1" applyFont="1" applyFill="1" applyBorder="1" applyAlignment="1" applyProtection="0">
      <alignment vertical="bottom"/>
    </xf>
    <xf numFmtId="59" fontId="21" fillId="4" borderId="15" applyNumberFormat="1" applyFont="1" applyFill="1" applyBorder="1" applyAlignment="1" applyProtection="0">
      <alignment vertical="bottom"/>
    </xf>
    <xf numFmtId="0" fontId="21" fillId="4" borderId="32" applyNumberFormat="1" applyFont="1" applyFill="1" applyBorder="1" applyAlignment="1" applyProtection="0">
      <alignment horizontal="left" vertical="bottom"/>
    </xf>
    <xf numFmtId="15" fontId="21" fillId="7" borderId="3" applyNumberFormat="1" applyFont="1" applyFill="1" applyBorder="1" applyAlignment="1" applyProtection="0">
      <alignment vertical="bottom"/>
    </xf>
    <xf numFmtId="0" fontId="4" borderId="33" applyNumberFormat="1" applyFont="1" applyFill="0" applyBorder="1" applyAlignment="1" applyProtection="0">
      <alignment vertical="bottom"/>
    </xf>
    <xf numFmtId="1" fontId="4" borderId="31" applyNumberFormat="1" applyFont="1" applyFill="0" applyBorder="1" applyAlignment="1" applyProtection="0">
      <alignment vertical="bottom"/>
    </xf>
    <xf numFmtId="1" fontId="4" borderId="2" applyNumberFormat="1" applyFont="1" applyFill="0" applyBorder="1" applyAlignment="1" applyProtection="0">
      <alignment vertical="bottom"/>
    </xf>
    <xf numFmtId="15" fontId="21" fillId="5" borderId="3" applyNumberFormat="1" applyFont="1" applyFill="1" applyBorder="1" applyAlignment="1" applyProtection="0">
      <alignment vertical="bottom"/>
    </xf>
    <xf numFmtId="0" fontId="21" fillId="4" borderId="1" applyNumberFormat="1" applyFont="1" applyFill="1" applyBorder="1" applyAlignment="1" applyProtection="0">
      <alignment horizontal="left" vertical="bottom"/>
    </xf>
    <xf numFmtId="1" fontId="4" borderId="11" applyNumberFormat="1" applyFont="1" applyFill="0" applyBorder="1" applyAlignment="1" applyProtection="0">
      <alignment vertical="bottom"/>
    </xf>
    <xf numFmtId="61" fontId="21" fillId="5" borderId="3" applyNumberFormat="1" applyFont="1" applyFill="1" applyBorder="1" applyAlignment="1" applyProtection="0">
      <alignment horizontal="right" vertical="bottom"/>
    </xf>
    <xf numFmtId="0" fontId="26" borderId="31" applyNumberFormat="1" applyFont="1" applyFill="0" applyBorder="1" applyAlignment="1" applyProtection="0">
      <alignment vertical="bottom"/>
    </xf>
    <xf numFmtId="0" fontId="21" fillId="5" borderId="3" applyNumberFormat="1" applyFont="1" applyFill="1" applyBorder="1" applyAlignment="1" applyProtection="0">
      <alignment horizontal="right" vertical="bottom"/>
    </xf>
    <xf numFmtId="1" fontId="4" borderId="34" applyNumberFormat="1" applyFont="1" applyFill="0" applyBorder="1" applyAlignment="1" applyProtection="0">
      <alignment vertical="bottom"/>
    </xf>
    <xf numFmtId="61" fontId="21" fillId="5" borderId="3" applyNumberFormat="1" applyFont="1" applyFill="1" applyBorder="1" applyAlignment="1" applyProtection="0">
      <alignment vertical="bottom"/>
    </xf>
    <xf numFmtId="1" fontId="4" borderId="33" applyNumberFormat="1" applyFont="1" applyFill="0" applyBorder="1" applyAlignment="1" applyProtection="0">
      <alignment vertical="bottom"/>
    </xf>
    <xf numFmtId="59" fontId="21" fillId="4" borderId="1" applyNumberFormat="1" applyFont="1" applyFill="1" applyBorder="1" applyAlignment="1" applyProtection="0">
      <alignment horizontal="left" vertical="bottom"/>
    </xf>
    <xf numFmtId="1" fontId="4" borderId="35" applyNumberFormat="1" applyFont="1" applyFill="0" applyBorder="1" applyAlignment="1" applyProtection="0">
      <alignment vertical="bottom"/>
    </xf>
    <xf numFmtId="1" fontId="4" borderId="26" applyNumberFormat="1" applyFont="1" applyFill="0" applyBorder="1" applyAlignment="1" applyProtection="0">
      <alignment vertical="bottom"/>
    </xf>
    <xf numFmtId="1" fontId="4" borderId="36" applyNumberFormat="1" applyFont="1" applyFill="0" applyBorder="1" applyAlignment="1" applyProtection="0">
      <alignment vertical="bottom"/>
    </xf>
    <xf numFmtId="59" fontId="23" fillId="4" borderId="31" applyNumberFormat="1" applyFont="1" applyFill="1" applyBorder="1" applyAlignment="1" applyProtection="0">
      <alignment vertical="bottom"/>
    </xf>
    <xf numFmtId="0" fontId="13" borderId="1" applyNumberFormat="1" applyFont="1" applyFill="0" applyBorder="1" applyAlignment="1" applyProtection="0">
      <alignment vertical="bottom"/>
    </xf>
    <xf numFmtId="0" fontId="21" borderId="1" applyNumberFormat="1" applyFont="1" applyFill="0" applyBorder="1" applyAlignment="1" applyProtection="0">
      <alignment vertical="bottom"/>
    </xf>
    <xf numFmtId="62" fontId="21" fillId="5" borderId="3" applyNumberFormat="1" applyFont="1" applyFill="1" applyBorder="1" applyAlignment="1" applyProtection="0">
      <alignment horizontal="right" vertical="bottom"/>
    </xf>
    <xf numFmtId="0" fontId="13" borderId="6" applyNumberFormat="1" applyFont="1" applyFill="0" applyBorder="1" applyAlignment="1" applyProtection="0">
      <alignment vertical="bottom"/>
    </xf>
    <xf numFmtId="0" fontId="4" borderId="11" applyNumberFormat="1" applyFont="1" applyFill="0" applyBorder="1" applyAlignment="1" applyProtection="0">
      <alignment vertical="bottom"/>
    </xf>
    <xf numFmtId="1" fontId="4" fillId="7" borderId="20" applyNumberFormat="1" applyFont="1" applyFill="1" applyBorder="1" applyAlignment="1" applyProtection="0">
      <alignment horizontal="center" vertical="bottom"/>
    </xf>
    <xf numFmtId="1" fontId="4" fillId="7" borderId="22" applyNumberFormat="1" applyFont="1" applyFill="1" applyBorder="1" applyAlignment="1" applyProtection="0">
      <alignment horizontal="center" vertical="bottom"/>
    </xf>
    <xf numFmtId="0" fontId="21" borderId="6" applyNumberFormat="1" applyFont="1" applyFill="0" applyBorder="1" applyAlignment="1" applyProtection="0">
      <alignment horizontal="left" vertical="center"/>
    </xf>
    <xf numFmtId="0" fontId="21" borderId="1" applyNumberFormat="1" applyFont="1" applyFill="0" applyBorder="1" applyAlignment="1" applyProtection="0">
      <alignment horizontal="left" vertical="center"/>
    </xf>
    <xf numFmtId="1" fontId="13" borderId="11" applyNumberFormat="1" applyFont="1" applyFill="0" applyBorder="1" applyAlignment="1" applyProtection="0">
      <alignment vertical="bottom"/>
    </xf>
    <xf numFmtId="0" fontId="6" borderId="20" applyNumberFormat="1" applyFont="1" applyFill="0" applyBorder="1" applyAlignment="1" applyProtection="0">
      <alignment horizontal="center" vertical="bottom"/>
    </xf>
    <xf numFmtId="1" fontId="21" borderId="11" applyNumberFormat="1" applyFont="1" applyFill="0" applyBorder="1" applyAlignment="1" applyProtection="0">
      <alignment horizontal="left" vertical="center"/>
    </xf>
    <xf numFmtId="1" fontId="13" borderId="1" applyNumberFormat="1" applyFont="1" applyFill="0" applyBorder="1" applyAlignment="1" applyProtection="0">
      <alignment vertical="bottom"/>
    </xf>
    <xf numFmtId="0" fontId="13" borderId="3" applyNumberFormat="1" applyFont="1" applyFill="0" applyBorder="1" applyAlignment="1" applyProtection="0">
      <alignment horizontal="center" vertical="bottom"/>
    </xf>
    <xf numFmtId="1" fontId="21" borderId="1" applyNumberFormat="1" applyFont="1" applyFill="0" applyBorder="1" applyAlignment="1" applyProtection="0">
      <alignment horizontal="left" vertical="center"/>
    </xf>
    <xf numFmtId="1" fontId="21" fillId="4" borderId="37" applyNumberFormat="1" applyFont="1" applyFill="1" applyBorder="1" applyAlignment="1" applyProtection="0">
      <alignment vertical="bottom"/>
    </xf>
    <xf numFmtId="0" fontId="21" fillId="5" borderId="3" applyNumberFormat="1" applyFont="1" applyFill="1" applyBorder="1" applyAlignment="1" applyProtection="0">
      <alignment vertical="bottom"/>
    </xf>
    <xf numFmtId="0" fontId="13" fillId="5" borderId="7" applyNumberFormat="1" applyFont="1" applyFill="1" applyBorder="1" applyAlignment="1" applyProtection="0">
      <alignment horizontal="center" vertical="center"/>
    </xf>
    <xf numFmtId="0" fontId="13" borderId="1" applyNumberFormat="1" applyFont="1" applyFill="0" applyBorder="1" applyAlignment="1" applyProtection="0">
      <alignment horizontal="left" vertical="center"/>
    </xf>
    <xf numFmtId="59" fontId="13" fillId="5" borderId="12" applyNumberFormat="1" applyFont="1" applyFill="1" applyBorder="1" applyAlignment="1" applyProtection="0">
      <alignment horizontal="center" vertical="center"/>
    </xf>
    <xf numFmtId="10" fontId="21" fillId="5" borderId="3" applyNumberFormat="1" applyFont="1" applyFill="1" applyBorder="1" applyAlignment="1" applyProtection="0">
      <alignment horizontal="right" vertical="bottom"/>
    </xf>
    <xf numFmtId="63" fontId="21" fillId="5" borderId="3" applyNumberFormat="1" applyFont="1" applyFill="1" applyBorder="1" applyAlignment="1" applyProtection="0">
      <alignment vertical="bottom"/>
    </xf>
    <xf numFmtId="62" fontId="21" borderId="15" applyNumberFormat="1" applyFont="1" applyFill="0" applyBorder="1" applyAlignment="1" applyProtection="0">
      <alignment horizontal="right" vertical="bottom"/>
    </xf>
    <xf numFmtId="64" fontId="21" borderId="2" applyNumberFormat="1" applyFont="1" applyFill="0" applyBorder="1" applyAlignment="1" applyProtection="0">
      <alignment horizontal="right" vertical="bottom"/>
    </xf>
    <xf numFmtId="0" fontId="13" borderId="9" applyNumberFormat="1" applyFont="1" applyFill="0" applyBorder="1" applyAlignment="1" applyProtection="0">
      <alignment horizontal="right" vertical="bottom"/>
    </xf>
    <xf numFmtId="59" fontId="13" borderId="3" applyNumberFormat="1" applyFont="1" applyFill="0" applyBorder="1" applyAlignment="1" applyProtection="0">
      <alignment vertical="bottom"/>
    </xf>
    <xf numFmtId="59" fontId="13" borderId="8" applyNumberFormat="1" applyFont="1" applyFill="0" applyBorder="1" applyAlignment="1" applyProtection="0">
      <alignment vertical="bottom"/>
    </xf>
    <xf numFmtId="1" fontId="21" borderId="11" applyNumberFormat="1" applyFont="1" applyFill="0" applyBorder="1" applyAlignment="1" applyProtection="0">
      <alignment vertical="bottom"/>
    </xf>
    <xf numFmtId="1" fontId="21" borderId="1" applyNumberFormat="1" applyFont="1" applyFill="0" applyBorder="1" applyAlignment="1" applyProtection="0">
      <alignment vertical="bottom"/>
    </xf>
    <xf numFmtId="3" fontId="21" fillId="5" borderId="3" applyNumberFormat="1" applyFont="1" applyFill="1" applyBorder="1" applyAlignment="1" applyProtection="0">
      <alignment horizontal="right" vertical="bottom"/>
    </xf>
    <xf numFmtId="1" fontId="21" fillId="5" borderId="3" applyNumberFormat="1" applyFont="1" applyFill="1" applyBorder="1" applyAlignment="1" applyProtection="0">
      <alignment horizontal="right" vertical="bottom"/>
    </xf>
    <xf numFmtId="61" fontId="21" borderId="15" applyNumberFormat="1" applyFont="1" applyFill="0" applyBorder="1" applyAlignment="1" applyProtection="0">
      <alignment horizontal="right" vertical="bottom"/>
    </xf>
    <xf numFmtId="61" fontId="21" borderId="1" applyNumberFormat="1" applyFont="1" applyFill="0" applyBorder="1" applyAlignment="1" applyProtection="0">
      <alignment horizontal="right" vertical="bottom"/>
    </xf>
    <xf numFmtId="59" fontId="13" borderId="1" applyNumberFormat="1" applyFont="1" applyFill="0" applyBorder="1" applyAlignment="1" applyProtection="0">
      <alignment vertical="bottom"/>
    </xf>
    <xf numFmtId="0" fontId="4" borderId="1" applyNumberFormat="1" applyFont="1" applyFill="0" applyBorder="1" applyAlignment="1" applyProtection="0">
      <alignment horizontal="left" vertical="bottom"/>
    </xf>
    <xf numFmtId="0" fontId="4" fillId="6" borderId="1" applyNumberFormat="1" applyFont="1" applyFill="1" applyBorder="1" applyAlignment="1" applyProtection="0">
      <alignment vertical="bottom"/>
    </xf>
    <xf numFmtId="0" fontId="4" borderId="24" applyNumberFormat="1" applyFont="1" applyFill="0" applyBorder="1" applyAlignment="1" applyProtection="0">
      <alignment horizontal="left" vertical="bottom"/>
    </xf>
    <xf numFmtId="0" fontId="4" fillId="6" borderId="24" applyNumberFormat="1" applyFont="1" applyFill="1" applyBorder="1" applyAlignment="1" applyProtection="0">
      <alignment vertical="bottom"/>
    </xf>
    <xf numFmtId="0" fontId="4" borderId="38" applyNumberFormat="1" applyFont="1" applyFill="0" applyBorder="1" applyAlignment="1" applyProtection="0">
      <alignment horizontal="left" vertical="bottom"/>
    </xf>
    <xf numFmtId="1" fontId="4" borderId="24" applyNumberFormat="1" applyFont="1" applyFill="0" applyBorder="1" applyAlignment="1" applyProtection="0">
      <alignment horizontal="left" vertical="bottom"/>
    </xf>
    <xf numFmtId="1" fontId="4" fillId="6" borderId="24" applyNumberFormat="1" applyFont="1" applyFill="1" applyBorder="1" applyAlignment="1" applyProtection="0">
      <alignment horizontal="left" vertical="bottom"/>
    </xf>
    <xf numFmtId="0" fontId="4" borderId="39" applyNumberFormat="1" applyFont="1" applyFill="0" applyBorder="1" applyAlignment="1" applyProtection="0">
      <alignment vertical="bottom"/>
    </xf>
    <xf numFmtId="14" fontId="4" borderId="19" applyNumberFormat="1" applyFont="1" applyFill="0" applyBorder="1" applyAlignment="1" applyProtection="0">
      <alignment vertical="bottom"/>
    </xf>
    <xf numFmtId="1" fontId="4" borderId="38" applyNumberFormat="1" applyFont="1" applyFill="0" applyBorder="1" applyAlignment="1" applyProtection="0">
      <alignment horizontal="left" vertical="bottom"/>
    </xf>
    <xf numFmtId="1" fontId="4" borderId="40" applyNumberFormat="1" applyFont="1" applyFill="0" applyBorder="1" applyAlignment="1" applyProtection="0">
      <alignment vertical="bottom"/>
    </xf>
    <xf numFmtId="60" fontId="4" borderId="19" applyNumberFormat="1" applyFont="1" applyFill="0" applyBorder="1" applyAlignment="1" applyProtection="0">
      <alignment vertical="bottom"/>
    </xf>
    <xf numFmtId="0" fontId="8" applyNumberFormat="1" applyFont="1" applyFill="0" applyBorder="0" applyAlignment="1" applyProtection="0">
      <alignment vertical="top" wrapText="1"/>
    </xf>
    <xf numFmtId="0" fontId="29" fillId="8" borderId="3" applyNumberFormat="0" applyFont="1" applyFill="1" applyBorder="1" applyAlignment="1" applyProtection="0">
      <alignment vertical="top" wrapText="1"/>
    </xf>
    <xf numFmtId="0" fontId="29" fillId="9" borderId="3" applyNumberFormat="0" applyFont="1" applyFill="1" applyBorder="1" applyAlignment="1" applyProtection="0">
      <alignment vertical="top" wrapText="1"/>
    </xf>
    <xf numFmtId="0" fontId="8" borderId="3" applyNumberFormat="0" applyFont="1" applyFill="0" applyBorder="1" applyAlignment="1" applyProtection="0">
      <alignment vertical="top" wrapText="1"/>
    </xf>
    <xf numFmtId="0" fontId="8" applyNumberFormat="1" applyFont="1" applyFill="0" applyBorder="0" applyAlignment="1" applyProtection="0">
      <alignment vertical="top" wrapText="1"/>
    </xf>
    <xf numFmtId="0" fontId="4" applyNumberFormat="1" applyFont="1" applyFill="0" applyBorder="0" applyAlignment="1" applyProtection="0">
      <alignment vertical="bottom"/>
    </xf>
    <xf numFmtId="1" fontId="21" borderId="17" applyNumberFormat="1" applyFont="1" applyFill="0" applyBorder="1" applyAlignment="1" applyProtection="0">
      <alignment vertical="bottom"/>
    </xf>
    <xf numFmtId="1" fontId="21" borderId="18" applyNumberFormat="1" applyFont="1" applyFill="0" applyBorder="1" applyAlignment="1" applyProtection="0">
      <alignment vertical="bottom"/>
    </xf>
    <xf numFmtId="0" fontId="13" borderId="18" applyNumberFormat="1" applyFont="1" applyFill="0" applyBorder="1" applyAlignment="1" applyProtection="0">
      <alignment vertical="bottom"/>
    </xf>
    <xf numFmtId="0" fontId="4" borderId="18" applyNumberFormat="0" applyFont="1" applyFill="0" applyBorder="1" applyAlignment="1" applyProtection="0">
      <alignment vertical="bottom"/>
    </xf>
    <xf numFmtId="1" fontId="21" borderId="18" applyNumberFormat="1" applyFont="1" applyFill="0" applyBorder="1" applyAlignment="1" applyProtection="0">
      <alignment horizontal="center" vertical="bottom"/>
    </xf>
    <xf numFmtId="1" fontId="13" borderId="18" applyNumberFormat="1" applyFont="1" applyFill="0" applyBorder="1" applyAlignment="1" applyProtection="0">
      <alignment horizontal="center" vertical="bottom"/>
    </xf>
    <xf numFmtId="1" fontId="21" borderId="41" applyNumberFormat="1" applyFont="1" applyFill="0" applyBorder="1" applyAlignment="1" applyProtection="0">
      <alignment vertical="bottom"/>
    </xf>
    <xf numFmtId="0" fontId="4" borderId="19" applyNumberFormat="0" applyFont="1" applyFill="0" applyBorder="1" applyAlignment="1" applyProtection="0">
      <alignment vertical="bottom"/>
    </xf>
    <xf numFmtId="0" fontId="4" borderId="1" applyNumberFormat="0" applyFont="1" applyFill="0" applyBorder="1" applyAlignment="1" applyProtection="0">
      <alignment vertical="bottom"/>
    </xf>
    <xf numFmtId="1" fontId="7" borderId="2" applyNumberFormat="1" applyFont="1" applyFill="0" applyBorder="1" applyAlignment="1" applyProtection="0">
      <alignment vertical="bottom"/>
    </xf>
    <xf numFmtId="0" fontId="4" borderId="2" applyNumberFormat="0" applyFont="1" applyFill="0" applyBorder="1" applyAlignment="1" applyProtection="0">
      <alignment vertical="bottom"/>
    </xf>
    <xf numFmtId="0" fontId="4" borderId="25" applyNumberFormat="0" applyFont="1" applyFill="0" applyBorder="1" applyAlignment="1" applyProtection="0">
      <alignment vertical="bottom"/>
    </xf>
    <xf numFmtId="0" fontId="4" borderId="11" applyNumberFormat="0" applyFont="1" applyFill="0" applyBorder="1" applyAlignment="1" applyProtection="0">
      <alignment vertical="bottom"/>
    </xf>
    <xf numFmtId="0" fontId="7" borderId="20" applyNumberFormat="1" applyFont="1" applyFill="0" applyBorder="1" applyAlignment="1" applyProtection="0">
      <alignment horizontal="center" vertical="bottom"/>
    </xf>
    <xf numFmtId="1" fontId="7" borderId="22" applyNumberFormat="1" applyFont="1" applyFill="0" applyBorder="1" applyAlignment="1" applyProtection="0">
      <alignment horizontal="center" vertical="bottom"/>
    </xf>
    <xf numFmtId="1" fontId="7" borderId="6" applyNumberFormat="1" applyFont="1" applyFill="0" applyBorder="1" applyAlignment="1" applyProtection="0">
      <alignment horizontal="center" vertical="bottom"/>
    </xf>
    <xf numFmtId="0" fontId="7" fillId="4" borderId="1" applyNumberFormat="1" applyFont="1" applyFill="1" applyBorder="1" applyAlignment="1" applyProtection="0">
      <alignment vertical="bottom"/>
    </xf>
    <xf numFmtId="0" fontId="4" fillId="5" borderId="3" applyNumberFormat="1" applyFont="1" applyFill="1" applyBorder="1" applyAlignment="1" applyProtection="0">
      <alignment vertical="center"/>
    </xf>
    <xf numFmtId="1" fontId="4" fillId="5" borderId="3" applyNumberFormat="1" applyFont="1" applyFill="1" applyBorder="1" applyAlignment="1" applyProtection="0">
      <alignment vertical="center"/>
    </xf>
    <xf numFmtId="1" fontId="4" borderId="6" applyNumberFormat="1" applyFont="1" applyFill="0" applyBorder="1" applyAlignment="1" applyProtection="0">
      <alignment vertical="center"/>
    </xf>
    <xf numFmtId="0" fontId="31" fillId="4" borderId="1" applyNumberFormat="1" applyFont="1" applyFill="1" applyBorder="1" applyAlignment="1" applyProtection="0">
      <alignment vertical="bottom"/>
    </xf>
    <xf numFmtId="0" fontId="4" fillId="6" borderId="3" applyNumberFormat="1" applyFont="1" applyFill="1" applyBorder="1" applyAlignment="1" applyProtection="0">
      <alignment vertical="center"/>
    </xf>
    <xf numFmtId="1" fontId="4" fillId="6" borderId="3" applyNumberFormat="1" applyFont="1" applyFill="1" applyBorder="1" applyAlignment="1" applyProtection="0">
      <alignment vertical="center"/>
    </xf>
    <xf numFmtId="59" fontId="4" fillId="4" borderId="19" applyNumberFormat="1" applyFont="1" applyFill="1" applyBorder="1" applyAlignment="1" applyProtection="0">
      <alignment vertical="bottom"/>
    </xf>
    <xf numFmtId="59" fontId="4" fillId="4" borderId="15" applyNumberFormat="1" applyFont="1" applyFill="1" applyBorder="1" applyAlignment="1" applyProtection="0">
      <alignment vertical="bottom"/>
    </xf>
    <xf numFmtId="59" fontId="33" borderId="21" applyNumberFormat="1" applyFont="1" applyFill="0" applyBorder="1" applyAlignment="1" applyProtection="0">
      <alignment vertical="top"/>
    </xf>
    <xf numFmtId="59" fontId="33" borderId="2" applyNumberFormat="1" applyFont="1" applyFill="0" applyBorder="1" applyAlignment="1" applyProtection="0">
      <alignment vertical="top"/>
    </xf>
    <xf numFmtId="59" fontId="4" borderId="2" applyNumberFormat="1" applyFont="1" applyFill="0" applyBorder="1" applyAlignment="1" applyProtection="0">
      <alignment vertical="bottom"/>
    </xf>
    <xf numFmtId="59" fontId="4" fillId="4" borderId="2" applyNumberFormat="1" applyFont="1" applyFill="1" applyBorder="1" applyAlignment="1" applyProtection="0">
      <alignment vertical="bottom"/>
    </xf>
    <xf numFmtId="59" fontId="4" fillId="4" borderId="1" applyNumberFormat="1" applyFont="1" applyFill="1" applyBorder="1" applyAlignment="1" applyProtection="0">
      <alignment vertical="bottom"/>
    </xf>
    <xf numFmtId="59" fontId="4" fillId="4" borderId="11" applyNumberFormat="1" applyFont="1" applyFill="1" applyBorder="1" applyAlignment="1" applyProtection="0">
      <alignment vertical="bottom"/>
    </xf>
    <xf numFmtId="0" fontId="7" borderId="3" applyNumberFormat="1" applyFont="1" applyFill="0" applyBorder="1" applyAlignment="1" applyProtection="0">
      <alignment horizontal="center" vertical="bottom"/>
    </xf>
    <xf numFmtId="59" fontId="7" borderId="3" applyNumberFormat="1" applyFont="1" applyFill="0" applyBorder="1" applyAlignment="1" applyProtection="0">
      <alignment horizontal="center" vertical="bottom"/>
    </xf>
    <xf numFmtId="0" fontId="7" borderId="3" applyNumberFormat="1" applyFont="1" applyFill="0" applyBorder="1" applyAlignment="1" applyProtection="0">
      <alignment horizontal="left" vertical="bottom"/>
    </xf>
    <xf numFmtId="59" fontId="34" borderId="3" applyNumberFormat="1" applyFont="1" applyFill="0" applyBorder="1" applyAlignment="1" applyProtection="0">
      <alignment horizontal="left" vertical="bottom"/>
    </xf>
    <xf numFmtId="59" fontId="34" borderId="3" applyNumberFormat="1" applyFont="1" applyFill="0" applyBorder="1" applyAlignment="1" applyProtection="0">
      <alignment horizontal="center" vertical="bottom"/>
    </xf>
    <xf numFmtId="59" fontId="34" borderId="6" applyNumberFormat="1" applyFont="1" applyFill="0" applyBorder="1" applyAlignment="1" applyProtection="0">
      <alignment horizontal="center" vertical="bottom"/>
    </xf>
    <xf numFmtId="1" fontId="7" borderId="1" applyNumberFormat="1" applyFont="1" applyFill="0" applyBorder="1" applyAlignment="1" applyProtection="0">
      <alignment horizontal="center" vertical="bottom"/>
    </xf>
    <xf numFmtId="1" fontId="26" borderId="1" applyNumberFormat="1" applyFont="1" applyFill="0" applyBorder="1" applyAlignment="1" applyProtection="0">
      <alignment vertical="bottom"/>
    </xf>
    <xf numFmtId="59" fontId="4" borderId="19" applyNumberFormat="1" applyFont="1" applyFill="0" applyBorder="1" applyAlignment="1" applyProtection="0">
      <alignment vertical="bottom"/>
    </xf>
    <xf numFmtId="1" fontId="4" borderId="1" applyNumberFormat="1" applyFont="1" applyFill="0" applyBorder="1" applyAlignment="1" applyProtection="0">
      <alignment vertical="center"/>
    </xf>
    <xf numFmtId="59" fontId="25" borderId="19" applyNumberFormat="1" applyFont="1" applyFill="0" applyBorder="1" applyAlignment="1" applyProtection="0">
      <alignment horizontal="center" vertical="bottom" wrapText="1"/>
    </xf>
    <xf numFmtId="59" fontId="25" borderId="1" applyNumberFormat="1" applyFont="1" applyFill="0" applyBorder="1" applyAlignment="1" applyProtection="0">
      <alignment horizontal="center" vertical="bottom" wrapText="1"/>
    </xf>
    <xf numFmtId="59" fontId="25" borderId="3" applyNumberFormat="1" applyFont="1" applyFill="0" applyBorder="1" applyAlignment="1" applyProtection="0">
      <alignment horizontal="center" vertical="bottom"/>
    </xf>
    <xf numFmtId="17" fontId="34" borderId="3" applyNumberFormat="1" applyFont="1" applyFill="0" applyBorder="1" applyAlignment="1" applyProtection="0">
      <alignment horizontal="left" vertical="bottom"/>
    </xf>
    <xf numFmtId="15" fontId="34" borderId="6" applyNumberFormat="1" applyFont="1" applyFill="0" applyBorder="1" applyAlignment="1" applyProtection="0">
      <alignment horizontal="center" vertical="bottom"/>
    </xf>
    <xf numFmtId="0" fontId="33" borderId="3" applyNumberFormat="1" applyFont="1" applyFill="0" applyBorder="1" applyAlignment="1" applyProtection="0">
      <alignment horizontal="center" vertical="bottom"/>
    </xf>
    <xf numFmtId="59" fontId="33" borderId="3" applyNumberFormat="1" applyFont="1" applyFill="0" applyBorder="1" applyAlignment="1" applyProtection="0">
      <alignment horizontal="center" vertical="bottom"/>
    </xf>
    <xf numFmtId="15" fontId="34" borderId="3" applyNumberFormat="1" applyFont="1" applyFill="0" applyBorder="1" applyAlignment="1" applyProtection="0">
      <alignment horizontal="right" vertical="bottom"/>
    </xf>
    <xf numFmtId="17" fontId="25" borderId="3" applyNumberFormat="1" applyFont="1" applyFill="0" applyBorder="1" applyAlignment="1" applyProtection="0">
      <alignment horizontal="center" vertical="bottom"/>
    </xf>
    <xf numFmtId="17" fontId="35" borderId="6" applyNumberFormat="1" applyFont="1" applyFill="0" applyBorder="1" applyAlignment="1" applyProtection="0">
      <alignment horizontal="center" vertical="bottom" wrapText="1"/>
    </xf>
    <xf numFmtId="59" fontId="26" fillId="4" borderId="1" applyNumberFormat="1" applyFont="1" applyFill="1" applyBorder="1" applyAlignment="1" applyProtection="0">
      <alignment vertical="bottom"/>
    </xf>
    <xf numFmtId="0" fontId="25" borderId="3" applyNumberFormat="1" applyFont="1" applyFill="0" applyBorder="1" applyAlignment="1" applyProtection="0">
      <alignment horizontal="center" vertical="bottom"/>
    </xf>
    <xf numFmtId="1" fontId="34" borderId="3" applyNumberFormat="1" applyFont="1" applyFill="0" applyBorder="1" applyAlignment="1" applyProtection="0">
      <alignment horizontal="left" vertical="bottom"/>
    </xf>
    <xf numFmtId="0" fontId="25" borderId="3" applyNumberFormat="1" applyFont="1" applyFill="0" applyBorder="1" applyAlignment="1" applyProtection="0">
      <alignment horizontal="left" vertical="bottom"/>
    </xf>
    <xf numFmtId="3" fontId="36" borderId="1" applyNumberFormat="1" applyFont="1" applyFill="0" applyBorder="1" applyAlignment="1" applyProtection="0">
      <alignment vertical="bottom"/>
    </xf>
    <xf numFmtId="1" fontId="4" borderId="1" applyNumberFormat="1" applyFont="1" applyFill="0" applyBorder="1" applyAlignment="1" applyProtection="0">
      <alignment horizontal="center" vertical="bottom"/>
    </xf>
    <xf numFmtId="1" fontId="4" borderId="25" applyNumberFormat="1" applyFont="1" applyFill="0" applyBorder="1" applyAlignment="1" applyProtection="0">
      <alignment vertical="bottom"/>
    </xf>
    <xf numFmtId="61" fontId="25" borderId="6" applyNumberFormat="1" applyFont="1" applyFill="0" applyBorder="1" applyAlignment="1" applyProtection="0">
      <alignment horizontal="center" vertical="center"/>
    </xf>
    <xf numFmtId="1" fontId="33" borderId="1" applyNumberFormat="1" applyFont="1" applyFill="0" applyBorder="1" applyAlignment="1" applyProtection="0">
      <alignment horizontal="center" vertical="bottom"/>
    </xf>
    <xf numFmtId="0" fontId="26" borderId="11" applyNumberFormat="1" applyFont="1" applyFill="0" applyBorder="1" applyAlignment="1" applyProtection="0">
      <alignment vertical="bottom"/>
    </xf>
    <xf numFmtId="0" fontId="26" borderId="1" applyNumberFormat="1" applyFont="1" applyFill="0" applyBorder="1" applyAlignment="1" applyProtection="0">
      <alignment horizontal="center" vertical="bottom"/>
    </xf>
    <xf numFmtId="0" fontId="4" borderId="1" applyNumberFormat="1" applyFont="1" applyFill="0" applyBorder="1" applyAlignment="1" applyProtection="0">
      <alignment horizontal="center" vertical="bottom"/>
    </xf>
    <xf numFmtId="1" fontId="4" fillId="4" borderId="19" applyNumberFormat="1" applyFont="1" applyFill="1" applyBorder="1" applyAlignment="1" applyProtection="0">
      <alignment vertical="bottom"/>
    </xf>
    <xf numFmtId="59" fontId="7" borderId="15" applyNumberFormat="1" applyFont="1" applyFill="0" applyBorder="1" applyAlignment="1" applyProtection="0">
      <alignment horizontal="center" vertical="bottom"/>
    </xf>
    <xf numFmtId="15" fontId="34" borderId="15" applyNumberFormat="1" applyFont="1" applyFill="0" applyBorder="1" applyAlignment="1" applyProtection="0">
      <alignment horizontal="center" vertical="bottom"/>
    </xf>
    <xf numFmtId="15" fontId="37" borderId="1" applyNumberFormat="1" applyFont="1" applyFill="0" applyBorder="1" applyAlignment="1" applyProtection="0">
      <alignment horizontal="center" vertical="bottom"/>
    </xf>
    <xf numFmtId="59" fontId="26" borderId="1" applyNumberFormat="1" applyFont="1" applyFill="0" applyBorder="1" applyAlignment="1" applyProtection="0">
      <alignment horizontal="center" vertical="bottom"/>
    </xf>
    <xf numFmtId="63" fontId="4" fillId="4" borderId="19" applyNumberFormat="1" applyFont="1" applyFill="1" applyBorder="1" applyAlignment="1" applyProtection="0">
      <alignment vertical="bottom"/>
    </xf>
    <xf numFmtId="1" fontId="25" borderId="2" applyNumberFormat="1" applyFont="1" applyFill="0" applyBorder="1" applyAlignment="1" applyProtection="0">
      <alignment horizontal="center" vertical="bottom"/>
    </xf>
    <xf numFmtId="59" fontId="4" borderId="2" applyNumberFormat="1" applyFont="1" applyFill="0" applyBorder="1" applyAlignment="1" applyProtection="0">
      <alignment horizontal="center" vertical="bottom"/>
    </xf>
    <xf numFmtId="0" fontId="7" borderId="2" applyNumberFormat="1" applyFont="1" applyFill="0" applyBorder="1" applyAlignment="1" applyProtection="0">
      <alignment horizontal="center" vertical="bottom" wrapText="1"/>
    </xf>
    <xf numFmtId="0" fontId="26" borderId="2" applyNumberFormat="1" applyFont="1" applyFill="0" applyBorder="1" applyAlignment="1" applyProtection="0">
      <alignment horizontal="center" vertical="bottom"/>
    </xf>
    <xf numFmtId="1" fontId="37" borderId="2" applyNumberFormat="1" applyFont="1" applyFill="0" applyBorder="1" applyAlignment="1" applyProtection="0">
      <alignment horizontal="center" vertical="bottom"/>
    </xf>
    <xf numFmtId="1" fontId="26" borderId="2" applyNumberFormat="1" applyFont="1" applyFill="0" applyBorder="1" applyAlignment="1" applyProtection="0">
      <alignment vertical="bottom"/>
    </xf>
    <xf numFmtId="0" fontId="38" fillId="4" borderId="19" applyNumberFormat="1" applyFont="1" applyFill="1" applyBorder="1" applyAlignment="1" applyProtection="0">
      <alignment vertical="bottom"/>
    </xf>
    <xf numFmtId="0" fontId="38" fillId="4" borderId="11" applyNumberFormat="1" applyFont="1" applyFill="1" applyBorder="1" applyAlignment="1" applyProtection="0">
      <alignment vertical="bottom"/>
    </xf>
    <xf numFmtId="1" fontId="33" borderId="3" applyNumberFormat="1" applyFont="1" applyFill="0" applyBorder="1" applyAlignment="1" applyProtection="0">
      <alignment vertical="bottom" wrapText="1"/>
    </xf>
    <xf numFmtId="0" fontId="33" borderId="3" applyNumberFormat="1" applyFont="1" applyFill="0" applyBorder="1" applyAlignment="1" applyProtection="0">
      <alignment vertical="bottom"/>
    </xf>
    <xf numFmtId="1" fontId="33" borderId="3" applyNumberFormat="1" applyFont="1" applyFill="0" applyBorder="1" applyAlignment="1" applyProtection="0">
      <alignment vertical="bottom"/>
    </xf>
    <xf numFmtId="0" fontId="7" borderId="3" applyNumberFormat="1" applyFont="1" applyFill="0" applyBorder="1" applyAlignment="1" applyProtection="0">
      <alignment horizontal="center" vertical="bottom" wrapText="1"/>
    </xf>
    <xf numFmtId="0" fontId="4" borderId="3" applyNumberFormat="1" applyFont="1" applyFill="0" applyBorder="1" applyAlignment="1" applyProtection="0">
      <alignment horizontal="center" vertical="bottom" wrapText="1"/>
    </xf>
    <xf numFmtId="65" fontId="4" borderId="3" applyNumberFormat="1" applyFont="1" applyFill="0" applyBorder="1" applyAlignment="1" applyProtection="0">
      <alignment horizontal="center" vertical="bottom"/>
    </xf>
    <xf numFmtId="66" fontId="4" borderId="3" applyNumberFormat="1" applyFont="1" applyFill="0" applyBorder="1" applyAlignment="1" applyProtection="0">
      <alignment horizontal="center" vertical="bottom"/>
    </xf>
    <xf numFmtId="17" fontId="4" borderId="3" applyNumberFormat="1" applyFont="1" applyFill="0" applyBorder="1" applyAlignment="1" applyProtection="0">
      <alignment horizontal="center" vertical="bottom"/>
    </xf>
    <xf numFmtId="0" fontId="26" fillId="4" borderId="19" applyNumberFormat="1" applyFont="1" applyFill="1" applyBorder="1" applyAlignment="1" applyProtection="0">
      <alignment vertical="bottom"/>
    </xf>
    <xf numFmtId="0" fontId="26" fillId="4" borderId="11" applyNumberFormat="1" applyFont="1" applyFill="1" applyBorder="1" applyAlignment="1" applyProtection="0">
      <alignment vertical="bottom"/>
    </xf>
    <xf numFmtId="1" fontId="4" borderId="3" applyNumberFormat="1" applyFont="1" applyFill="0" applyBorder="1" applyAlignment="1" applyProtection="0">
      <alignment vertical="bottom"/>
    </xf>
    <xf numFmtId="0" fontId="4" borderId="3" applyNumberFormat="1" applyFont="1" applyFill="0" applyBorder="1" applyAlignment="1" applyProtection="0">
      <alignment vertical="bottom"/>
    </xf>
    <xf numFmtId="3" fontId="4" fillId="5" borderId="3" applyNumberFormat="1" applyFont="1" applyFill="1" applyBorder="1" applyAlignment="1" applyProtection="0">
      <alignment vertical="bottom"/>
    </xf>
    <xf numFmtId="3" fontId="4" borderId="3" applyNumberFormat="1" applyFont="1" applyFill="0" applyBorder="1" applyAlignment="1" applyProtection="0">
      <alignment vertical="bottom"/>
    </xf>
    <xf numFmtId="0" fontId="4" fillId="6" borderId="3" applyNumberFormat="1" applyFont="1" applyFill="1" applyBorder="1" applyAlignment="1" applyProtection="0">
      <alignment vertical="bottom"/>
    </xf>
    <xf numFmtId="59" fontId="26" fillId="4" borderId="19" applyNumberFormat="1" applyFont="1" applyFill="1" applyBorder="1" applyAlignment="1" applyProtection="0">
      <alignment vertical="bottom"/>
    </xf>
    <xf numFmtId="59" fontId="26" fillId="4" borderId="11" applyNumberFormat="1" applyFont="1" applyFill="1" applyBorder="1" applyAlignment="1" applyProtection="0">
      <alignment vertical="bottom"/>
    </xf>
    <xf numFmtId="3" fontId="4" fillId="6" borderId="3" applyNumberFormat="1" applyFont="1" applyFill="1" applyBorder="1" applyAlignment="1" applyProtection="0">
      <alignment vertical="bottom"/>
    </xf>
    <xf numFmtId="1" fontId="39" borderId="3" applyNumberFormat="1" applyFont="1" applyFill="0" applyBorder="1" applyAlignment="1" applyProtection="0">
      <alignment vertical="bottom"/>
    </xf>
    <xf numFmtId="3" fontId="4" fillId="7" borderId="3" applyNumberFormat="1" applyFont="1" applyFill="1" applyBorder="1" applyAlignment="1" applyProtection="0">
      <alignment vertical="bottom"/>
    </xf>
    <xf numFmtId="1" fontId="26" fillId="4" borderId="19" applyNumberFormat="1" applyFont="1" applyFill="1" applyBorder="1" applyAlignment="1" applyProtection="0">
      <alignment vertical="bottom"/>
    </xf>
    <xf numFmtId="1" fontId="26" fillId="4" borderId="11" applyNumberFormat="1" applyFont="1" applyFill="1" applyBorder="1" applyAlignment="1" applyProtection="0">
      <alignment vertical="bottom"/>
    </xf>
    <xf numFmtId="59" fontId="10" borderId="42" applyNumberFormat="1" applyFont="1" applyFill="0" applyBorder="1" applyAlignment="1" applyProtection="0">
      <alignment vertical="bottom"/>
    </xf>
    <xf numFmtId="3" fontId="4" borderId="42" applyNumberFormat="1" applyFont="1" applyFill="0" applyBorder="1" applyAlignment="1" applyProtection="0">
      <alignment vertical="bottom"/>
    </xf>
    <xf numFmtId="3" fontId="4" fillId="6" borderId="42" applyNumberFormat="1" applyFont="1" applyFill="1" applyBorder="1" applyAlignment="1" applyProtection="0">
      <alignment vertical="bottom"/>
    </xf>
    <xf numFmtId="1" fontId="26" borderId="19" applyNumberFormat="1" applyFont="1" applyFill="0" applyBorder="1" applyAlignment="1" applyProtection="0">
      <alignment vertical="bottom"/>
    </xf>
    <xf numFmtId="1" fontId="26" borderId="11" applyNumberFormat="1" applyFont="1" applyFill="0" applyBorder="1" applyAlignment="1" applyProtection="0">
      <alignment vertical="bottom"/>
    </xf>
    <xf numFmtId="59" fontId="4" fillId="4" borderId="43" applyNumberFormat="1" applyFont="1" applyFill="1" applyBorder="1" applyAlignment="1" applyProtection="0">
      <alignment vertical="bottom"/>
    </xf>
    <xf numFmtId="0" fontId="7" borderId="44" applyNumberFormat="1" applyFont="1" applyFill="0" applyBorder="1" applyAlignment="1" applyProtection="0">
      <alignment vertical="bottom"/>
    </xf>
    <xf numFmtId="1" fontId="7" borderId="44" applyNumberFormat="1" applyFont="1" applyFill="0" applyBorder="1" applyAlignment="1" applyProtection="0">
      <alignment vertical="bottom"/>
    </xf>
    <xf numFmtId="3" fontId="4" fillId="10" borderId="44" applyNumberFormat="1" applyFont="1" applyFill="1" applyBorder="1" applyAlignment="1" applyProtection="0">
      <alignment vertical="bottom"/>
    </xf>
    <xf numFmtId="1" fontId="4" borderId="39" applyNumberFormat="1" applyFont="1" applyFill="0" applyBorder="1" applyAlignment="1" applyProtection="0">
      <alignment vertical="bottom"/>
    </xf>
    <xf numFmtId="59" fontId="4" fillId="4" borderId="45" applyNumberFormat="1" applyFont="1" applyFill="1" applyBorder="1" applyAlignment="1" applyProtection="0">
      <alignment vertical="bottom"/>
    </xf>
    <xf numFmtId="59" fontId="4" borderId="3" applyNumberFormat="1" applyFont="1" applyFill="0" applyBorder="1" applyAlignment="1" applyProtection="0">
      <alignment vertical="bottom"/>
    </xf>
    <xf numFmtId="67" fontId="4" fillId="6" borderId="3" applyNumberFormat="1" applyFont="1" applyFill="1" applyBorder="1" applyAlignment="1" applyProtection="0">
      <alignment horizontal="right" vertical="bottom"/>
    </xf>
    <xf numFmtId="67" fontId="4" borderId="3" applyNumberFormat="1" applyFont="1" applyFill="0" applyBorder="1" applyAlignment="1" applyProtection="0">
      <alignment vertical="bottom"/>
    </xf>
    <xf numFmtId="67" fontId="4" fillId="6" borderId="3" applyNumberFormat="1" applyFont="1" applyFill="1" applyBorder="1" applyAlignment="1" applyProtection="0">
      <alignment vertical="bottom"/>
    </xf>
    <xf numFmtId="0" fontId="4" borderId="42" applyNumberFormat="1" applyFont="1" applyFill="0" applyBorder="1" applyAlignment="1" applyProtection="0">
      <alignment vertical="bottom"/>
    </xf>
    <xf numFmtId="59" fontId="4" borderId="42" applyNumberFormat="1" applyFont="1" applyFill="0" applyBorder="1" applyAlignment="1" applyProtection="0">
      <alignment vertical="bottom"/>
    </xf>
    <xf numFmtId="1" fontId="4" borderId="42" applyNumberFormat="1" applyFont="1" applyFill="0" applyBorder="1" applyAlignment="1" applyProtection="0">
      <alignment vertical="bottom"/>
    </xf>
    <xf numFmtId="67" fontId="4" fillId="6" borderId="42" applyNumberFormat="1" applyFont="1" applyFill="1" applyBorder="1" applyAlignment="1" applyProtection="0">
      <alignment vertical="bottom"/>
    </xf>
    <xf numFmtId="67" fontId="4" borderId="42" applyNumberFormat="1" applyFont="1" applyFill="0" applyBorder="1" applyAlignment="1" applyProtection="0">
      <alignment vertical="bottom"/>
    </xf>
    <xf numFmtId="1" fontId="4" borderId="43" applyNumberFormat="1" applyFont="1" applyFill="0" applyBorder="1" applyAlignment="1" applyProtection="0">
      <alignment vertical="bottom"/>
    </xf>
    <xf numFmtId="0" fontId="7" fillId="10" borderId="46" applyNumberFormat="1" applyFont="1" applyFill="1" applyBorder="1" applyAlignment="1" applyProtection="0">
      <alignment vertical="bottom"/>
    </xf>
    <xf numFmtId="59" fontId="7" fillId="10" borderId="47" applyNumberFormat="1" applyFont="1" applyFill="1" applyBorder="1" applyAlignment="1" applyProtection="0">
      <alignment vertical="bottom"/>
    </xf>
    <xf numFmtId="64" fontId="7" fillId="10" borderId="47" applyNumberFormat="1" applyFont="1" applyFill="1" applyBorder="1" applyAlignment="1" applyProtection="0">
      <alignment horizontal="right" vertical="bottom"/>
    </xf>
    <xf numFmtId="67" fontId="7" fillId="10" borderId="47" applyNumberFormat="1" applyFont="1" applyFill="1" applyBorder="1" applyAlignment="1" applyProtection="0">
      <alignment horizontal="right" vertical="bottom"/>
    </xf>
    <xf numFmtId="67" fontId="7" fillId="10" borderId="47" applyNumberFormat="1" applyFont="1" applyFill="1" applyBorder="1" applyAlignment="1" applyProtection="0">
      <alignment vertical="bottom"/>
    </xf>
    <xf numFmtId="59" fontId="4" borderId="47" applyNumberFormat="1" applyFont="1" applyFill="0" applyBorder="1" applyAlignment="1" applyProtection="0">
      <alignment vertical="bottom"/>
    </xf>
    <xf numFmtId="1" fontId="4" borderId="47" applyNumberFormat="1" applyFont="1" applyFill="0" applyBorder="1" applyAlignment="1" applyProtection="0">
      <alignment vertical="bottom"/>
    </xf>
    <xf numFmtId="67" fontId="4" borderId="47" applyNumberFormat="1" applyFont="1" applyFill="0" applyBorder="1" applyAlignment="1" applyProtection="0">
      <alignment vertical="bottom"/>
    </xf>
    <xf numFmtId="1" fontId="26" borderId="19" applyNumberFormat="1" applyFont="1" applyFill="0" applyBorder="1" applyAlignment="1" applyProtection="0">
      <alignment vertical="center"/>
    </xf>
    <xf numFmtId="1" fontId="26" borderId="11" applyNumberFormat="1" applyFont="1" applyFill="0" applyBorder="1" applyAlignment="1" applyProtection="0">
      <alignment vertical="center"/>
    </xf>
    <xf numFmtId="1" fontId="4" borderId="43" applyNumberFormat="1" applyFont="1" applyFill="0" applyBorder="1" applyAlignment="1" applyProtection="0">
      <alignment vertical="center"/>
    </xf>
    <xf numFmtId="0" fontId="7" fillId="10" borderId="46" applyNumberFormat="1" applyFont="1" applyFill="1" applyBorder="1" applyAlignment="1" applyProtection="0">
      <alignment vertical="center"/>
    </xf>
    <xf numFmtId="59" fontId="7" fillId="10" borderId="47" applyNumberFormat="1" applyFont="1" applyFill="1" applyBorder="1" applyAlignment="1" applyProtection="0">
      <alignment vertical="center"/>
    </xf>
    <xf numFmtId="64" fontId="7" fillId="10" borderId="47" applyNumberFormat="1" applyFont="1" applyFill="1" applyBorder="1" applyAlignment="1" applyProtection="0">
      <alignment horizontal="right" vertical="center"/>
    </xf>
    <xf numFmtId="3" fontId="4" borderId="47" applyNumberFormat="1" applyFont="1" applyFill="0" applyBorder="1" applyAlignment="1" applyProtection="0">
      <alignment vertical="center"/>
    </xf>
    <xf numFmtId="67" fontId="7" fillId="10" borderId="47" applyNumberFormat="1" applyFont="1" applyFill="1" applyBorder="1" applyAlignment="1" applyProtection="0">
      <alignment vertical="center"/>
    </xf>
    <xf numFmtId="67" fontId="4" borderId="47" applyNumberFormat="1" applyFont="1" applyFill="0" applyBorder="1" applyAlignment="1" applyProtection="0">
      <alignment vertical="center"/>
    </xf>
    <xf numFmtId="1" fontId="4" borderId="25" applyNumberFormat="1" applyFont="1" applyFill="0" applyBorder="1" applyAlignment="1" applyProtection="0">
      <alignment vertical="center"/>
    </xf>
    <xf numFmtId="1" fontId="26" borderId="1" applyNumberFormat="1" applyFont="1" applyFill="0" applyBorder="1" applyAlignment="1" applyProtection="0">
      <alignment vertical="center"/>
    </xf>
    <xf numFmtId="1" fontId="4" borderId="15" applyNumberFormat="1" applyFont="1" applyFill="0" applyBorder="1" applyAlignment="1" applyProtection="0">
      <alignment vertical="center"/>
    </xf>
    <xf numFmtId="59" fontId="7" borderId="40" applyNumberFormat="1" applyFont="1" applyFill="0" applyBorder="1" applyAlignment="1" applyProtection="0">
      <alignment vertical="center"/>
    </xf>
    <xf numFmtId="64" fontId="7" borderId="40" applyNumberFormat="1" applyFont="1" applyFill="0" applyBorder="1" applyAlignment="1" applyProtection="0">
      <alignment horizontal="right" vertical="center"/>
    </xf>
    <xf numFmtId="3" fontId="4" borderId="40" applyNumberFormat="1" applyFont="1" applyFill="0" applyBorder="1" applyAlignment="1" applyProtection="0">
      <alignment vertical="center"/>
    </xf>
    <xf numFmtId="67" fontId="7" borderId="40" applyNumberFormat="1" applyFont="1" applyFill="0" applyBorder="1" applyAlignment="1" applyProtection="0">
      <alignment horizontal="right" vertical="center"/>
    </xf>
    <xf numFmtId="67" fontId="7" borderId="40" applyNumberFormat="1" applyFont="1" applyFill="0" applyBorder="1" applyAlignment="1" applyProtection="0">
      <alignment vertical="center"/>
    </xf>
    <xf numFmtId="67" fontId="4" borderId="40" applyNumberFormat="1" applyFont="1" applyFill="0" applyBorder="1" applyAlignment="1" applyProtection="0">
      <alignment vertical="center"/>
    </xf>
    <xf numFmtId="67" fontId="7" borderId="1" applyNumberFormat="1" applyFont="1" applyFill="0" applyBorder="1" applyAlignment="1" applyProtection="0">
      <alignment vertical="center"/>
    </xf>
    <xf numFmtId="64" fontId="4" borderId="1" applyNumberFormat="1" applyFont="1" applyFill="0" applyBorder="1" applyAlignment="1" applyProtection="0">
      <alignment horizontal="center" vertical="bottom" wrapText="1"/>
    </xf>
    <xf numFmtId="17" fontId="4" borderId="1" applyNumberFormat="1" applyFont="1" applyFill="0" applyBorder="1" applyAlignment="1" applyProtection="0">
      <alignment horizontal="center" vertical="bottom" wrapText="1"/>
    </xf>
    <xf numFmtId="0" fontId="4" borderId="1" applyNumberFormat="1" applyFont="1" applyFill="0" applyBorder="1" applyAlignment="1" applyProtection="0">
      <alignment horizontal="center" vertical="bottom" wrapText="1"/>
    </xf>
    <xf numFmtId="59" fontId="40" borderId="1" applyNumberFormat="1" applyFont="1" applyFill="0" applyBorder="1" applyAlignment="1" applyProtection="0">
      <alignment vertical="bottom"/>
    </xf>
    <xf numFmtId="59" fontId="41" borderId="1" applyNumberFormat="1" applyFont="1" applyFill="0" applyBorder="1" applyAlignment="1" applyProtection="0">
      <alignment horizontal="center" vertical="bottom"/>
    </xf>
    <xf numFmtId="59" fontId="41" borderId="1" applyNumberFormat="1" applyFont="1" applyFill="0" applyBorder="1" applyAlignment="1" applyProtection="0">
      <alignment vertical="bottom"/>
    </xf>
    <xf numFmtId="64" fontId="4" borderId="1" applyNumberFormat="1" applyFont="1" applyFill="0" applyBorder="1" applyAlignment="1" applyProtection="0">
      <alignment vertical="bottom"/>
    </xf>
    <xf numFmtId="59" fontId="26" borderId="1" applyNumberFormat="1" applyFont="1" applyFill="0" applyBorder="1" applyAlignment="1" applyProtection="0">
      <alignment vertical="bottom"/>
    </xf>
    <xf numFmtId="59" fontId="4" borderId="1" applyNumberFormat="1" applyFont="1" applyFill="0" applyBorder="1" applyAlignment="1" applyProtection="0">
      <alignment horizontal="center" vertical="bottom"/>
    </xf>
    <xf numFmtId="68" fontId="4" fillId="4" borderId="1" applyNumberFormat="1" applyFont="1" applyFill="1" applyBorder="1" applyAlignment="1" applyProtection="0">
      <alignment vertical="bottom"/>
    </xf>
    <xf numFmtId="59" fontId="26" borderId="1" applyNumberFormat="1" applyFont="1" applyFill="0" applyBorder="1" applyAlignment="1" applyProtection="0">
      <alignment horizontal="right" vertical="bottom"/>
    </xf>
    <xf numFmtId="59" fontId="4" borderId="1" applyNumberFormat="1" applyFont="1" applyFill="0" applyBorder="1" applyAlignment="1" applyProtection="0">
      <alignment horizontal="right" vertical="bottom"/>
    </xf>
    <xf numFmtId="67" fontId="4" borderId="1" applyNumberFormat="1" applyFont="1" applyFill="0" applyBorder="1" applyAlignment="1" applyProtection="0">
      <alignment vertical="bottom"/>
    </xf>
    <xf numFmtId="59" fontId="26" borderId="1" applyNumberFormat="1" applyFont="1" applyFill="0" applyBorder="1" applyAlignment="1" applyProtection="0">
      <alignment horizontal="left" vertical="bottom"/>
    </xf>
    <xf numFmtId="59" fontId="4" borderId="1" applyNumberFormat="1" applyFont="1" applyFill="0" applyBorder="1" applyAlignment="1" applyProtection="0">
      <alignment horizontal="left" vertical="bottom"/>
    </xf>
    <xf numFmtId="0" fontId="4" borderId="48" applyNumberFormat="0" applyFont="1" applyFill="0" applyBorder="1" applyAlignment="1" applyProtection="0">
      <alignment vertical="bottom"/>
    </xf>
    <xf numFmtId="0" fontId="4" borderId="49" applyNumberFormat="0" applyFont="1" applyFill="0" applyBorder="1" applyAlignment="1" applyProtection="0">
      <alignment vertical="bottom"/>
    </xf>
    <xf numFmtId="0" fontId="4" borderId="50" applyNumberFormat="0" applyFont="1" applyFill="0" applyBorder="1" applyAlignment="1" applyProtection="0">
      <alignment vertical="bottom"/>
    </xf>
    <xf numFmtId="0" fontId="4" applyNumberFormat="1" applyFont="1" applyFill="0" applyBorder="0" applyAlignment="1" applyProtection="0">
      <alignment vertical="bottom"/>
    </xf>
    <xf numFmtId="0" fontId="6" borderId="51" applyNumberFormat="1" applyFont="1" applyFill="0" applyBorder="1" applyAlignment="1" applyProtection="0">
      <alignment vertical="bottom"/>
    </xf>
    <xf numFmtId="0" fontId="4" borderId="51" applyNumberFormat="0" applyFont="1" applyFill="0" applyBorder="1" applyAlignment="1" applyProtection="0">
      <alignment vertical="bottom"/>
    </xf>
    <xf numFmtId="0" fontId="4" borderId="52" applyNumberFormat="0" applyFont="1" applyFill="0" applyBorder="1" applyAlignment="1" applyProtection="0">
      <alignment vertical="bottom"/>
    </xf>
    <xf numFmtId="0" fontId="13" borderId="51" applyNumberFormat="1" applyFont="1" applyFill="0" applyBorder="1" applyAlignment="1" applyProtection="0">
      <alignment vertical="bottom"/>
    </xf>
    <xf numFmtId="0" fontId="4" borderId="53" applyNumberFormat="0" applyFont="1" applyFill="0" applyBorder="1" applyAlignment="1" applyProtection="0">
      <alignment vertical="bottom"/>
    </xf>
    <xf numFmtId="1" fontId="13" fillId="5" borderId="1" applyNumberFormat="1" applyFont="1" applyFill="1" applyBorder="1" applyAlignment="1" applyProtection="0">
      <alignment vertical="bottom"/>
    </xf>
    <xf numFmtId="0" fontId="4" borderId="54" applyNumberFormat="0" applyFont="1" applyFill="0" applyBorder="1" applyAlignment="1" applyProtection="0">
      <alignment vertical="bottom"/>
    </xf>
    <xf numFmtId="0" fontId="13" borderId="52" applyNumberFormat="1" applyFont="1" applyFill="0" applyBorder="1" applyAlignment="1" applyProtection="0">
      <alignment vertical="bottom"/>
    </xf>
    <xf numFmtId="1" fontId="13" borderId="55" applyNumberFormat="1" applyFont="1" applyFill="0" applyBorder="1" applyAlignment="1" applyProtection="0">
      <alignment vertical="bottom"/>
    </xf>
    <xf numFmtId="0" fontId="13" fillId="7" borderId="1" applyNumberFormat="1" applyFont="1" applyFill="1" applyBorder="1" applyAlignment="1" applyProtection="0">
      <alignment vertical="bottom"/>
    </xf>
    <xf numFmtId="1" fontId="13" fillId="7" borderId="1" applyNumberFormat="1" applyFont="1" applyFill="1" applyBorder="1" applyAlignment="1" applyProtection="0">
      <alignment vertical="bottom"/>
    </xf>
    <xf numFmtId="0" fontId="4" borderId="56" applyNumberFormat="0" applyFont="1" applyFill="0" applyBorder="1" applyAlignment="1" applyProtection="0">
      <alignment vertical="bottom"/>
    </xf>
    <xf numFmtId="0" fontId="4" borderId="57" applyNumberFormat="0" applyFont="1" applyFill="0" applyBorder="1" applyAlignment="1" applyProtection="0">
      <alignment vertical="bottom"/>
    </xf>
    <xf numFmtId="1" fontId="4" borderId="58" applyNumberFormat="1" applyFont="1" applyFill="0" applyBorder="1" applyAlignment="1" applyProtection="0">
      <alignment vertical="bottom"/>
    </xf>
    <xf numFmtId="0" fontId="4" borderId="4" applyNumberFormat="1" applyFont="1" applyFill="0" applyBorder="1" applyAlignment="1" applyProtection="0">
      <alignment horizontal="center" vertical="bottom"/>
    </xf>
    <xf numFmtId="1" fontId="4" borderId="59" applyNumberFormat="1" applyFont="1" applyFill="0" applyBorder="1" applyAlignment="1" applyProtection="0">
      <alignment horizontal="center" vertical="bottom"/>
    </xf>
    <xf numFmtId="1" fontId="4" borderId="5" applyNumberFormat="1" applyFont="1" applyFill="0" applyBorder="1" applyAlignment="1" applyProtection="0">
      <alignment horizontal="center" vertical="bottom"/>
    </xf>
    <xf numFmtId="1" fontId="4" borderId="60" applyNumberFormat="1" applyFont="1" applyFill="0" applyBorder="1" applyAlignment="1" applyProtection="0">
      <alignment vertical="bottom"/>
    </xf>
    <xf numFmtId="0" fontId="4" borderId="60" applyNumberFormat="1" applyFont="1" applyFill="0" applyBorder="1" applyAlignment="1" applyProtection="0">
      <alignment vertical="bottom"/>
    </xf>
    <xf numFmtId="0" fontId="4" borderId="58" applyNumberFormat="1" applyFont="1" applyFill="0" applyBorder="1" applyAlignment="1" applyProtection="0">
      <alignment horizontal="center" vertical="bottom" wrapText="1"/>
    </xf>
    <xf numFmtId="1" fontId="4" borderId="58" applyNumberFormat="1" applyFont="1" applyFill="0" applyBorder="1" applyAlignment="1" applyProtection="0">
      <alignment horizontal="center" vertical="bottom" wrapText="1"/>
    </xf>
    <xf numFmtId="1" fontId="4" borderId="61" applyNumberFormat="1" applyFont="1" applyFill="0" applyBorder="1" applyAlignment="1" applyProtection="0">
      <alignment vertical="bottom"/>
    </xf>
    <xf numFmtId="0" fontId="4" borderId="61" applyNumberFormat="1" applyFont="1" applyFill="0" applyBorder="1" applyAlignment="1" applyProtection="0">
      <alignment horizontal="center" vertical="bottom" wrapText="1"/>
    </xf>
    <xf numFmtId="1" fontId="4" borderId="61" applyNumberFormat="1" applyFont="1" applyFill="0" applyBorder="1" applyAlignment="1" applyProtection="0">
      <alignment horizontal="center" vertical="bottom" wrapText="1"/>
    </xf>
    <xf numFmtId="1" fontId="4" borderId="7" applyNumberFormat="1" applyFont="1" applyFill="0" applyBorder="1" applyAlignment="1" applyProtection="0">
      <alignment vertical="bottom"/>
    </xf>
    <xf numFmtId="0" fontId="7" borderId="60" applyNumberFormat="1" applyFont="1" applyFill="0" applyBorder="1" applyAlignment="1" applyProtection="0">
      <alignment vertical="bottom"/>
    </xf>
    <xf numFmtId="1" fontId="4" fillId="5" borderId="10" applyNumberFormat="1" applyFont="1" applyFill="1" applyBorder="1" applyAlignment="1" applyProtection="0">
      <alignment vertical="bottom"/>
    </xf>
    <xf numFmtId="59" fontId="4" fillId="5" borderId="10" applyNumberFormat="1" applyFont="1" applyFill="1" applyBorder="1" applyAlignment="1" applyProtection="0">
      <alignment vertical="bottom"/>
    </xf>
    <xf numFmtId="1" fontId="4" borderId="10" applyNumberFormat="1" applyFont="1" applyFill="0" applyBorder="1" applyAlignment="1" applyProtection="0">
      <alignment vertical="bottom"/>
    </xf>
    <xf numFmtId="1" fontId="4" borderId="62" applyNumberFormat="1" applyFont="1" applyFill="0" applyBorder="1" applyAlignment="1" applyProtection="0">
      <alignment vertical="bottom"/>
    </xf>
    <xf numFmtId="1" fontId="4" borderId="63" applyNumberFormat="1" applyFont="1" applyFill="0" applyBorder="1" applyAlignment="1" applyProtection="0">
      <alignment vertical="bottom"/>
    </xf>
    <xf numFmtId="0" fontId="4" borderId="61" applyNumberFormat="1" applyFont="1" applyFill="0" applyBorder="1" applyAlignment="1" applyProtection="0">
      <alignment vertical="bottom"/>
    </xf>
    <xf numFmtId="0" fontId="4" borderId="60" applyNumberFormat="1" applyFont="1" applyFill="0" applyBorder="1" applyAlignment="1" applyProtection="0">
      <alignment horizontal="right" vertical="bottom"/>
    </xf>
    <xf numFmtId="0" fontId="4" borderId="58" applyNumberFormat="1" applyFont="1" applyFill="0" applyBorder="1" applyAlignment="1" applyProtection="0">
      <alignment vertical="bottom"/>
    </xf>
    <xf numFmtId="2" fontId="4" borderId="60" applyNumberFormat="1" applyFont="1" applyFill="0" applyBorder="1" applyAlignment="1" applyProtection="0">
      <alignment vertical="bottom"/>
    </xf>
    <xf numFmtId="1" fontId="4" borderId="12" applyNumberFormat="1" applyFont="1" applyFill="0" applyBorder="1" applyAlignment="1" applyProtection="0">
      <alignment vertical="bottom"/>
    </xf>
    <xf numFmtId="0" fontId="7" borderId="3" applyNumberFormat="1" applyFont="1" applyFill="0" applyBorder="1" applyAlignment="1" applyProtection="0">
      <alignment vertical="bottom"/>
    </xf>
    <xf numFmtId="0" fontId="7" borderId="61" applyNumberFormat="1" applyFont="1" applyFill="0" applyBorder="1" applyAlignment="1" applyProtection="0">
      <alignment vertical="bottom"/>
    </xf>
    <xf numFmtId="1" fontId="4" fillId="5" borderId="12" applyNumberFormat="1" applyFont="1" applyFill="1" applyBorder="1" applyAlignment="1" applyProtection="0">
      <alignment vertical="bottom"/>
    </xf>
    <xf numFmtId="0" fontId="4" borderId="59" applyNumberFormat="0" applyFont="1" applyFill="0" applyBorder="1" applyAlignment="1" applyProtection="0">
      <alignment vertical="bottom"/>
    </xf>
    <xf numFmtId="1" fontId="4" borderId="59" applyNumberFormat="1" applyFont="1" applyFill="0" applyBorder="1" applyAlignment="1" applyProtection="0">
      <alignment vertical="bottom"/>
    </xf>
    <xf numFmtId="9" fontId="4" borderId="62" applyNumberFormat="1" applyFont="1" applyFill="0" applyBorder="1" applyAlignment="1" applyProtection="0">
      <alignment vertical="bottom"/>
    </xf>
    <xf numFmtId="9" fontId="4" borderId="60" applyNumberFormat="1" applyFont="1" applyFill="0" applyBorder="1" applyAlignment="1" applyProtection="0">
      <alignment vertical="bottom"/>
    </xf>
    <xf numFmtId="9" fontId="4" fillId="5" borderId="10" applyNumberFormat="1" applyFont="1" applyFill="1" applyBorder="1" applyAlignment="1" applyProtection="0">
      <alignment vertical="bottom"/>
    </xf>
    <xf numFmtId="0" fontId="4" borderId="64" applyNumberFormat="0" applyFont="1" applyFill="0" applyBorder="1" applyAlignment="1" applyProtection="0">
      <alignment vertical="bottom"/>
    </xf>
    <xf numFmtId="14" fontId="4" borderId="51" applyNumberFormat="1" applyFont="1" applyFill="0" applyBorder="1" applyAlignment="1" applyProtection="0">
      <alignment vertical="bottom"/>
    </xf>
    <xf numFmtId="0" fontId="4" applyNumberFormat="1" applyFont="1" applyFill="0" applyBorder="0" applyAlignment="1" applyProtection="0">
      <alignment vertical="bottom"/>
    </xf>
    <xf numFmtId="0" fontId="21" borderId="51" applyNumberFormat="1" applyFont="1" applyFill="0" applyBorder="1" applyAlignment="1" applyProtection="0">
      <alignment vertical="bottom"/>
    </xf>
    <xf numFmtId="1" fontId="6" borderId="51" applyNumberFormat="1" applyFont="1" applyFill="0" applyBorder="1" applyAlignment="1" applyProtection="0">
      <alignment vertical="bottom"/>
    </xf>
    <xf numFmtId="1" fontId="13" borderId="51" applyNumberFormat="1" applyFont="1" applyFill="0" applyBorder="1" applyAlignment="1" applyProtection="0">
      <alignment vertical="bottom"/>
    </xf>
    <xf numFmtId="1" fontId="13" borderId="57" applyNumberFormat="1" applyFont="1" applyFill="0" applyBorder="1" applyAlignment="1" applyProtection="0">
      <alignment vertical="bottom"/>
    </xf>
    <xf numFmtId="0" fontId="4" borderId="51" applyNumberFormat="1" applyFont="1" applyFill="0" applyBorder="1" applyAlignment="1" applyProtection="0">
      <alignment vertical="bottom"/>
    </xf>
    <xf numFmtId="0" fontId="13" fillId="11" borderId="20" applyNumberFormat="1" applyFont="1" applyFill="1" applyBorder="1" applyAlignment="1" applyProtection="0">
      <alignment vertical="bottom"/>
    </xf>
    <xf numFmtId="1" fontId="13" fillId="11" borderId="21" applyNumberFormat="1" applyFont="1" applyFill="1" applyBorder="1" applyAlignment="1" applyProtection="0">
      <alignment vertical="bottom"/>
    </xf>
    <xf numFmtId="1" fontId="13" fillId="11" borderId="22" applyNumberFormat="1" applyFont="1" applyFill="1" applyBorder="1" applyAlignment="1" applyProtection="0">
      <alignment vertical="bottom"/>
    </xf>
    <xf numFmtId="1" fontId="13" borderId="65" applyNumberFormat="1" applyFont="1" applyFill="0" applyBorder="1" applyAlignment="1" applyProtection="0">
      <alignment vertical="bottom"/>
    </xf>
    <xf numFmtId="1" fontId="21" borderId="51" applyNumberFormat="1" applyFont="1" applyFill="0" applyBorder="1" applyAlignment="1" applyProtection="0">
      <alignment vertical="bottom"/>
    </xf>
    <xf numFmtId="0" fontId="21" fillId="6" borderId="4" applyNumberFormat="1" applyFont="1" applyFill="1" applyBorder="1" applyAlignment="1" applyProtection="0">
      <alignment horizontal="left" vertical="center"/>
    </xf>
    <xf numFmtId="1" fontId="4" fillId="6" borderId="59" applyNumberFormat="1" applyFont="1" applyFill="1" applyBorder="1" applyAlignment="1" applyProtection="0">
      <alignment vertical="bottom"/>
    </xf>
    <xf numFmtId="1" fontId="4" fillId="6" borderId="5" applyNumberFormat="1" applyFont="1" applyFill="1" applyBorder="1" applyAlignment="1" applyProtection="0">
      <alignment vertical="bottom"/>
    </xf>
    <xf numFmtId="1" fontId="13" borderId="66" applyNumberFormat="1" applyFont="1" applyFill="0" applyBorder="1" applyAlignment="1" applyProtection="0">
      <alignment vertical="bottom"/>
    </xf>
    <xf numFmtId="1" fontId="21" borderId="57" applyNumberFormat="1" applyFont="1" applyFill="0" applyBorder="1" applyAlignment="1" applyProtection="0">
      <alignment vertical="bottom"/>
    </xf>
    <xf numFmtId="1" fontId="7" borderId="67" applyNumberFormat="1" applyFont="1" applyFill="0" applyBorder="1" applyAlignment="1" applyProtection="0">
      <alignment vertical="bottom"/>
    </xf>
    <xf numFmtId="1" fontId="7" borderId="58" applyNumberFormat="1" applyFont="1" applyFill="0" applyBorder="1" applyAlignment="1" applyProtection="0">
      <alignment vertical="bottom"/>
    </xf>
    <xf numFmtId="1" fontId="4" borderId="65" applyNumberFormat="1" applyFont="1" applyFill="0" applyBorder="1" applyAlignment="1" applyProtection="0">
      <alignment vertical="bottom"/>
    </xf>
    <xf numFmtId="1" fontId="4" borderId="68" applyNumberFormat="1" applyFont="1" applyFill="0" applyBorder="1" applyAlignment="1" applyProtection="0">
      <alignment vertical="bottom"/>
    </xf>
    <xf numFmtId="1" fontId="21" borderId="65" applyNumberFormat="1" applyFont="1" applyFill="0" applyBorder="1" applyAlignment="1" applyProtection="0">
      <alignment vertical="bottom"/>
    </xf>
    <xf numFmtId="17" fontId="4" borderId="60" applyNumberFormat="1" applyFont="1" applyFill="0" applyBorder="1" applyAlignment="1" applyProtection="0">
      <alignment vertical="bottom"/>
    </xf>
    <xf numFmtId="66" fontId="4" borderId="60" applyNumberFormat="1" applyFont="1" applyFill="0" applyBorder="1" applyAlignment="1" applyProtection="0">
      <alignment vertical="bottom"/>
    </xf>
    <xf numFmtId="1" fontId="4" borderId="51" applyNumberFormat="1" applyFont="1" applyFill="0" applyBorder="1" applyAlignment="1" applyProtection="0">
      <alignment vertical="bottom"/>
    </xf>
    <xf numFmtId="0" fontId="42" borderId="68" applyNumberFormat="1" applyFont="1" applyFill="0" applyBorder="1" applyAlignment="1" applyProtection="0">
      <alignment vertical="bottom"/>
    </xf>
    <xf numFmtId="0" fontId="4" borderId="68" applyNumberFormat="1" applyFont="1" applyFill="0" applyBorder="1" applyAlignment="1" applyProtection="0">
      <alignment vertical="bottom"/>
    </xf>
    <xf numFmtId="3" fontId="4" fillId="6" borderId="10" applyNumberFormat="1" applyFont="1" applyFill="1" applyBorder="1" applyAlignment="1" applyProtection="0">
      <alignment vertical="bottom"/>
    </xf>
    <xf numFmtId="65" fontId="4" fillId="11" borderId="10" applyNumberFormat="1" applyFont="1" applyFill="1" applyBorder="1" applyAlignment="1" applyProtection="0">
      <alignment horizontal="center" vertical="bottom"/>
    </xf>
    <xf numFmtId="0" fontId="4" borderId="65" applyNumberFormat="1" applyFont="1" applyFill="0" applyBorder="1" applyAlignment="1" applyProtection="0">
      <alignment horizontal="center" vertical="bottom"/>
    </xf>
    <xf numFmtId="0" fontId="4" borderId="68" applyNumberFormat="1" applyFont="1" applyFill="0" applyBorder="1" applyAlignment="1" applyProtection="0">
      <alignment horizontal="center" vertical="bottom"/>
    </xf>
    <xf numFmtId="0" fontId="4" fillId="6" borderId="10" applyNumberFormat="1" applyFont="1" applyFill="1" applyBorder="1" applyAlignment="1" applyProtection="0">
      <alignment vertical="bottom"/>
    </xf>
    <xf numFmtId="3" fontId="4" borderId="51" applyNumberFormat="1" applyFont="1" applyFill="0" applyBorder="1" applyAlignment="1" applyProtection="0">
      <alignment vertical="bottom"/>
    </xf>
    <xf numFmtId="10" fontId="4" borderId="60" applyNumberFormat="1" applyFont="1" applyFill="0" applyBorder="1" applyAlignment="1" applyProtection="0">
      <alignment vertical="bottom"/>
    </xf>
    <xf numFmtId="1" fontId="4" borderId="65" applyNumberFormat="1" applyFont="1" applyFill="0" applyBorder="1" applyAlignment="1" applyProtection="0">
      <alignment horizontal="center" vertical="bottom"/>
    </xf>
    <xf numFmtId="1" fontId="4" borderId="68" applyNumberFormat="1" applyFont="1" applyFill="0" applyBorder="1" applyAlignment="1" applyProtection="0">
      <alignment horizontal="center" vertical="bottom"/>
    </xf>
    <xf numFmtId="3" fontId="4" borderId="63" applyNumberFormat="1" applyFont="1" applyFill="0" applyBorder="1" applyAlignment="1" applyProtection="0">
      <alignment vertical="bottom"/>
    </xf>
    <xf numFmtId="3" fontId="4" borderId="10" applyNumberFormat="1" applyFont="1" applyFill="0" applyBorder="1" applyAlignment="1" applyProtection="0">
      <alignment vertical="bottom"/>
    </xf>
    <xf numFmtId="3" fontId="4" borderId="62" applyNumberFormat="1" applyFont="1" applyFill="0" applyBorder="1" applyAlignment="1" applyProtection="0">
      <alignment vertical="bottom"/>
    </xf>
    <xf numFmtId="0" fontId="4" borderId="62" applyNumberFormat="1" applyFont="1" applyFill="0" applyBorder="1" applyAlignment="1" applyProtection="0">
      <alignment vertical="bottom"/>
    </xf>
    <xf numFmtId="3" fontId="4" fillId="11" borderId="10" applyNumberFormat="1" applyFont="1" applyFill="1" applyBorder="1" applyAlignment="1" applyProtection="0">
      <alignment vertical="bottom"/>
    </xf>
    <xf numFmtId="10" fontId="4" fillId="11" borderId="10" applyNumberFormat="1" applyFont="1" applyFill="1" applyBorder="1" applyAlignment="1" applyProtection="0">
      <alignment vertical="bottom"/>
    </xf>
    <xf numFmtId="3" fontId="4" borderId="60" applyNumberFormat="1" applyFont="1" applyFill="0" applyBorder="1" applyAlignment="1" applyProtection="0">
      <alignment vertical="bottom"/>
    </xf>
    <xf numFmtId="0" fontId="4" fillId="11" borderId="10" applyNumberFormat="1" applyFont="1" applyFill="1" applyBorder="1" applyAlignment="1" applyProtection="0">
      <alignment vertical="bottom"/>
    </xf>
    <xf numFmtId="1" fontId="4" fillId="11" borderId="10" applyNumberFormat="1" applyFont="1" applyFill="1" applyBorder="1" applyAlignment="1" applyProtection="0">
      <alignment vertical="bottom"/>
    </xf>
    <xf numFmtId="3" fontId="4" fillId="11" borderId="12" applyNumberFormat="1" applyFont="1" applyFill="1" applyBorder="1" applyAlignment="1" applyProtection="0">
      <alignment vertical="bottom"/>
    </xf>
    <xf numFmtId="3" fontId="4" borderId="61" applyNumberFormat="1" applyFont="1" applyFill="0" applyBorder="1" applyAlignment="1" applyProtection="0">
      <alignment vertical="bottom"/>
    </xf>
    <xf numFmtId="10" fontId="4" fillId="11" borderId="12" applyNumberFormat="1" applyFont="1" applyFill="1" applyBorder="1" applyAlignment="1" applyProtection="0">
      <alignment vertical="bottom"/>
    </xf>
    <xf numFmtId="65" fontId="4" fillId="11" borderId="12" applyNumberFormat="1" applyFont="1" applyFill="1" applyBorder="1" applyAlignment="1" applyProtection="0">
      <alignment horizontal="center" vertical="bottom"/>
    </xf>
    <xf numFmtId="1" fontId="4" borderId="56" applyNumberFormat="1" applyFont="1" applyFill="0" applyBorder="1" applyAlignment="1" applyProtection="0">
      <alignment vertical="bottom"/>
    </xf>
    <xf numFmtId="3" fontId="4" borderId="59" applyNumberFormat="1" applyFont="1" applyFill="0" applyBorder="1" applyAlignment="1" applyProtection="0">
      <alignment vertical="bottom"/>
    </xf>
    <xf numFmtId="10" fontId="4" borderId="64" applyNumberFormat="1" applyFont="1" applyFill="0" applyBorder="1" applyAlignment="1" applyProtection="0">
      <alignment vertical="bottom"/>
    </xf>
    <xf numFmtId="1" fontId="4" borderId="64" applyNumberFormat="1" applyFont="1" applyFill="0" applyBorder="1" applyAlignment="1" applyProtection="0">
      <alignment vertical="bottom"/>
    </xf>
    <xf numFmtId="3" fontId="4" borderId="12" applyNumberFormat="1" applyFont="1" applyFill="0" applyBorder="1" applyAlignment="1" applyProtection="0">
      <alignment vertical="bottom"/>
    </xf>
    <xf numFmtId="10" fontId="4" borderId="51" applyNumberFormat="1" applyFont="1" applyFill="0" applyBorder="1" applyAlignment="1" applyProtection="0">
      <alignment vertical="bottom"/>
    </xf>
    <xf numFmtId="3" fontId="4" borderId="69" applyNumberFormat="1" applyFont="1" applyFill="0" applyBorder="1" applyAlignment="1" applyProtection="0">
      <alignment vertical="bottom"/>
    </xf>
    <xf numFmtId="0" fontId="7" borderId="51" applyNumberFormat="1" applyFont="1" applyFill="0" applyBorder="1" applyAlignment="1" applyProtection="0">
      <alignment vertical="bottom"/>
    </xf>
    <xf numFmtId="1" fontId="7" borderId="51" applyNumberFormat="1" applyFont="1" applyFill="0" applyBorder="1" applyAlignment="1" applyProtection="0">
      <alignment vertical="bottom"/>
    </xf>
    <xf numFmtId="1" fontId="7" borderId="53" applyNumberFormat="1" applyFont="1" applyFill="0" applyBorder="1" applyAlignment="1" applyProtection="0">
      <alignment vertical="bottom"/>
    </xf>
    <xf numFmtId="61" fontId="7" fillId="12" borderId="1" applyNumberFormat="1" applyFont="1" applyFill="1" applyBorder="1" applyAlignment="1" applyProtection="0">
      <alignment vertical="bottom"/>
    </xf>
    <xf numFmtId="10" fontId="4" borderId="54" applyNumberFormat="1" applyFont="1" applyFill="0" applyBorder="1" applyAlignment="1" applyProtection="0">
      <alignment vertical="bottom"/>
    </xf>
    <xf numFmtId="3" fontId="4" borderId="70" applyNumberFormat="1" applyFont="1" applyFill="0" applyBorder="1" applyAlignment="1" applyProtection="0">
      <alignment vertical="bottom"/>
    </xf>
    <xf numFmtId="69" fontId="4" borderId="51" applyNumberFormat="1" applyFont="1" applyFill="0" applyBorder="1" applyAlignment="1" applyProtection="0">
      <alignment vertical="bottom"/>
    </xf>
    <xf numFmtId="0" fontId="4" applyNumberFormat="1" applyFont="1" applyFill="0" applyBorder="0" applyAlignment="1" applyProtection="0">
      <alignment vertical="bottom"/>
    </xf>
    <xf numFmtId="0" fontId="43" borderId="18" applyNumberFormat="1" applyFont="1" applyFill="0" applyBorder="1" applyAlignment="1" applyProtection="0">
      <alignment vertical="bottom"/>
    </xf>
    <xf numFmtId="0" fontId="7" borderId="18" applyNumberFormat="1" applyFont="1" applyFill="0" applyBorder="1" applyAlignment="1" applyProtection="0">
      <alignment horizontal="right" vertical="bottom"/>
    </xf>
    <xf numFmtId="70" fontId="7" borderId="18" applyNumberFormat="1" applyFont="1" applyFill="0" applyBorder="1" applyAlignment="1" applyProtection="0">
      <alignment horizontal="left" vertical="bottom"/>
    </xf>
    <xf numFmtId="0" fontId="7" borderId="71" applyNumberFormat="1" applyFont="1" applyFill="0" applyBorder="1" applyAlignment="1" applyProtection="0">
      <alignment horizontal="center" vertical="bottom"/>
    </xf>
    <xf numFmtId="1" fontId="44" borderId="2" applyNumberFormat="1" applyFont="1" applyFill="0" applyBorder="1" applyAlignment="1" applyProtection="0">
      <alignment vertical="bottom"/>
    </xf>
    <xf numFmtId="1" fontId="7" borderId="1" applyNumberFormat="1" applyFont="1" applyFill="0" applyBorder="1" applyAlignment="1" applyProtection="0">
      <alignment horizontal="right" vertical="bottom"/>
    </xf>
    <xf numFmtId="70" fontId="7" borderId="1" applyNumberFormat="1" applyFont="1" applyFill="0" applyBorder="1" applyAlignment="1" applyProtection="0">
      <alignment horizontal="left" vertical="bottom"/>
    </xf>
    <xf numFmtId="1" fontId="7" borderId="11" applyNumberFormat="1" applyFont="1" applyFill="0" applyBorder="1" applyAlignment="1" applyProtection="0">
      <alignment horizontal="center" vertical="bottom"/>
    </xf>
    <xf numFmtId="1" fontId="45" borderId="1" applyNumberFormat="1" applyFont="1" applyFill="0" applyBorder="1" applyAlignment="1" applyProtection="0">
      <alignment vertical="bottom"/>
    </xf>
    <xf numFmtId="0" fontId="21" fillId="5" borderId="3" applyNumberFormat="1" applyFont="1" applyFill="1" applyBorder="1" applyAlignment="1" applyProtection="0">
      <alignment vertical="center"/>
    </xf>
    <xf numFmtId="1" fontId="21" fillId="5" borderId="3" applyNumberFormat="1" applyFont="1" applyFill="1" applyBorder="1" applyAlignment="1" applyProtection="0">
      <alignment vertical="center"/>
    </xf>
    <xf numFmtId="1" fontId="31" fillId="4" borderId="1" applyNumberFormat="1" applyFont="1" applyFill="1" applyBorder="1" applyAlignment="1" applyProtection="0">
      <alignment vertical="bottom"/>
    </xf>
    <xf numFmtId="0" fontId="21" fillId="6" borderId="3" applyNumberFormat="1" applyFont="1" applyFill="1" applyBorder="1" applyAlignment="1" applyProtection="0">
      <alignment vertical="center"/>
    </xf>
    <xf numFmtId="1" fontId="21" fillId="6" borderId="3" applyNumberFormat="1" applyFont="1" applyFill="1" applyBorder="1" applyAlignment="1" applyProtection="0">
      <alignment vertical="center"/>
    </xf>
    <xf numFmtId="10" fontId="4" borderId="1" applyNumberFormat="1" applyFont="1" applyFill="0" applyBorder="1" applyAlignment="1" applyProtection="0">
      <alignment vertical="bottom"/>
    </xf>
    <xf numFmtId="1" fontId="25" borderId="11" applyNumberFormat="1" applyFont="1" applyFill="0" applyBorder="1" applyAlignment="1" applyProtection="0">
      <alignment horizontal="center" vertical="bottom"/>
    </xf>
    <xf numFmtId="0" fontId="33" borderId="10" applyNumberFormat="1" applyFont="1" applyFill="0" applyBorder="1" applyAlignment="1" applyProtection="0">
      <alignment horizontal="center" vertical="center"/>
    </xf>
    <xf numFmtId="1" fontId="21" borderId="22" applyNumberFormat="1" applyFont="1" applyFill="0" applyBorder="1" applyAlignment="1" applyProtection="0">
      <alignment vertical="center"/>
    </xf>
    <xf numFmtId="1" fontId="33" borderId="10" applyNumberFormat="1" applyFont="1" applyFill="0" applyBorder="1" applyAlignment="1" applyProtection="0">
      <alignment horizontal="center" vertical="center"/>
    </xf>
    <xf numFmtId="1" fontId="21" borderId="21" applyNumberFormat="1" applyFont="1" applyFill="0" applyBorder="1" applyAlignment="1" applyProtection="0">
      <alignment vertical="center"/>
    </xf>
    <xf numFmtId="0" fontId="6" borderId="7" applyNumberFormat="1" applyFont="1" applyFill="0" applyBorder="1" applyAlignment="1" applyProtection="0">
      <alignment horizontal="center" vertical="center" wrapText="1"/>
    </xf>
    <xf numFmtId="0" fontId="7" borderId="1" applyNumberFormat="1" applyFont="1" applyFill="0" applyBorder="1" applyAlignment="1" applyProtection="0">
      <alignment horizontal="center" vertical="bottom" wrapText="1"/>
    </xf>
    <xf numFmtId="0" fontId="7" borderId="1" applyNumberFormat="1" applyFont="1" applyFill="0" applyBorder="1" applyAlignment="1" applyProtection="0">
      <alignment vertical="bottom" wrapText="1"/>
    </xf>
    <xf numFmtId="0" fontId="33" borderId="1" applyNumberFormat="1" applyFont="1" applyFill="0" applyBorder="1" applyAlignment="1" applyProtection="0">
      <alignment vertical="center"/>
    </xf>
    <xf numFmtId="1" fontId="33" borderId="11" applyNumberFormat="1" applyFont="1" applyFill="0" applyBorder="1" applyAlignment="1" applyProtection="0">
      <alignment horizontal="center" vertical="center"/>
    </xf>
    <xf numFmtId="0" fontId="33" borderId="10" applyNumberFormat="1" applyFont="1" applyFill="0" applyBorder="1" applyAlignment="1" applyProtection="0">
      <alignment horizontal="right" vertical="center"/>
    </xf>
    <xf numFmtId="0" fontId="33" borderId="6" applyNumberFormat="1" applyFont="1" applyFill="0" applyBorder="1" applyAlignment="1" applyProtection="0">
      <alignment vertical="center"/>
    </xf>
    <xf numFmtId="59" fontId="46" borderId="8" applyNumberFormat="1" applyFont="1" applyFill="0" applyBorder="1" applyAlignment="1" applyProtection="0">
      <alignment horizontal="center" vertical="bottom"/>
    </xf>
    <xf numFmtId="10" fontId="21" borderId="15" applyNumberFormat="1" applyFont="1" applyFill="0" applyBorder="1" applyAlignment="1" applyProtection="0">
      <alignment vertical="bottom"/>
    </xf>
    <xf numFmtId="59" fontId="21" borderId="9" applyNumberFormat="1" applyFont="1" applyFill="0" applyBorder="1" applyAlignment="1" applyProtection="0">
      <alignment vertical="bottom"/>
    </xf>
    <xf numFmtId="1" fontId="6" borderId="10" applyNumberFormat="1" applyFont="1" applyFill="0" applyBorder="1" applyAlignment="1" applyProtection="0">
      <alignment vertical="bottom"/>
    </xf>
    <xf numFmtId="0" fontId="6" borderId="10" applyNumberFormat="1" applyFont="1" applyFill="0" applyBorder="1" applyAlignment="1" applyProtection="0">
      <alignment horizontal="center" vertical="bottom"/>
    </xf>
    <xf numFmtId="1" fontId="33" borderId="1" applyNumberFormat="1" applyFont="1" applyFill="0" applyBorder="1" applyAlignment="1" applyProtection="0">
      <alignment vertical="center"/>
    </xf>
    <xf numFmtId="0" fontId="4" borderId="1" applyNumberFormat="1" applyFont="1" applyFill="0" applyBorder="1" applyAlignment="1" applyProtection="0">
      <alignment vertical="center"/>
    </xf>
    <xf numFmtId="0" fontId="7" borderId="10" applyNumberFormat="1" applyFont="1" applyFill="0" applyBorder="1" applyAlignment="1" applyProtection="0">
      <alignment horizontal="right" vertical="center"/>
    </xf>
    <xf numFmtId="0" fontId="33" borderId="1" applyNumberFormat="1" applyFont="1" applyFill="0" applyBorder="1" applyAlignment="1" applyProtection="0">
      <alignment vertical="bottom"/>
    </xf>
    <xf numFmtId="0" fontId="7" borderId="1" applyNumberFormat="1" applyFont="1" applyFill="0" applyBorder="1" applyAlignment="1" applyProtection="0">
      <alignment vertical="bottom"/>
    </xf>
    <xf numFmtId="2" fontId="21" borderId="6" applyNumberFormat="1" applyFont="1" applyFill="0" applyBorder="1" applyAlignment="1" applyProtection="0">
      <alignment vertical="bottom"/>
    </xf>
    <xf numFmtId="0" fontId="47" borderId="1" applyNumberFormat="1" applyFont="1" applyFill="0" applyBorder="1" applyAlignment="1" applyProtection="0">
      <alignment horizontal="left" vertical="bottom"/>
    </xf>
    <xf numFmtId="2" fontId="21" borderId="1" applyNumberFormat="1" applyFont="1" applyFill="0" applyBorder="1" applyAlignment="1" applyProtection="0">
      <alignment vertical="bottom"/>
    </xf>
    <xf numFmtId="2" fontId="21" borderId="11" applyNumberFormat="1" applyFont="1" applyFill="0" applyBorder="1" applyAlignment="1" applyProtection="0">
      <alignment vertical="bottom"/>
    </xf>
    <xf numFmtId="10" fontId="4" borderId="25" applyNumberFormat="1" applyFont="1" applyFill="0" applyBorder="1" applyAlignment="1" applyProtection="0">
      <alignment vertical="bottom"/>
    </xf>
    <xf numFmtId="0" fontId="6" borderId="12" applyNumberFormat="1" applyFont="1" applyFill="0" applyBorder="1" applyAlignment="1" applyProtection="0">
      <alignment horizontal="center" vertical="bottom"/>
    </xf>
    <xf numFmtId="1" fontId="6" borderId="12" applyNumberFormat="1" applyFont="1" applyFill="0" applyBorder="1" applyAlignment="1" applyProtection="0">
      <alignment horizontal="center" vertical="bottom"/>
    </xf>
    <xf numFmtId="1" fontId="6" borderId="12" applyNumberFormat="1" applyFont="1" applyFill="0" applyBorder="1" applyAlignment="1" applyProtection="0">
      <alignment vertical="bottom"/>
    </xf>
    <xf numFmtId="1" fontId="33" borderId="1" applyNumberFormat="1" applyFont="1" applyFill="0" applyBorder="1" applyAlignment="1" applyProtection="0">
      <alignment horizontal="center" vertical="center"/>
    </xf>
    <xf numFmtId="1" fontId="7" borderId="72" applyNumberFormat="1" applyFont="1" applyFill="0" applyBorder="1" applyAlignment="1" applyProtection="0">
      <alignment horizontal="right" vertical="center"/>
    </xf>
    <xf numFmtId="1" fontId="33" borderId="1" applyNumberFormat="1" applyFont="1" applyFill="0" applyBorder="1" applyAlignment="1" applyProtection="0">
      <alignment vertical="bottom"/>
    </xf>
    <xf numFmtId="1" fontId="7" borderId="1" applyNumberFormat="1" applyFont="1" applyFill="0" applyBorder="1" applyAlignment="1" applyProtection="0">
      <alignment vertical="bottom"/>
    </xf>
    <xf numFmtId="2" fontId="47" borderId="1" applyNumberFormat="1" applyFont="1" applyFill="0" applyBorder="1" applyAlignment="1" applyProtection="0">
      <alignment horizontal="left" vertical="bottom"/>
    </xf>
    <xf numFmtId="71" fontId="4" fillId="5" borderId="73" applyNumberFormat="1" applyFont="1" applyFill="1" applyBorder="1" applyAlignment="1" applyProtection="0">
      <alignment horizontal="center" vertical="bottom"/>
    </xf>
    <xf numFmtId="1" fontId="4" fillId="5" borderId="73" applyNumberFormat="1" applyFont="1" applyFill="1" applyBorder="1" applyAlignment="1" applyProtection="0">
      <alignment horizontal="center" vertical="bottom"/>
    </xf>
    <xf numFmtId="0" fontId="4" borderId="73" applyNumberFormat="1" applyFont="1" applyFill="0" applyBorder="1" applyAlignment="1" applyProtection="0">
      <alignment horizontal="center" vertical="bottom"/>
    </xf>
    <xf numFmtId="3" fontId="4" fillId="5" borderId="73" applyNumberFormat="1" applyFont="1" applyFill="1" applyBorder="1" applyAlignment="1" applyProtection="0">
      <alignment horizontal="center" vertical="bottom"/>
    </xf>
    <xf numFmtId="2" fontId="4" borderId="73" applyNumberFormat="1" applyFont="1" applyFill="0" applyBorder="1" applyAlignment="1" applyProtection="0">
      <alignment horizontal="center" vertical="bottom"/>
    </xf>
    <xf numFmtId="2" fontId="4" fillId="6" borderId="73" applyNumberFormat="1" applyFont="1" applyFill="1" applyBorder="1" applyAlignment="1" applyProtection="0">
      <alignment horizontal="center" vertical="bottom"/>
    </xf>
    <xf numFmtId="72" fontId="4" borderId="73" applyNumberFormat="1" applyFont="1" applyFill="0" applyBorder="1" applyAlignment="1" applyProtection="0">
      <alignment horizontal="center" vertical="bottom"/>
    </xf>
    <xf numFmtId="2" fontId="4" borderId="1" applyNumberFormat="1" applyFont="1" applyFill="0" applyBorder="1" applyAlignment="1" applyProtection="0">
      <alignment horizontal="center" vertical="bottom"/>
    </xf>
    <xf numFmtId="0" fontId="48" borderId="6" applyNumberFormat="1" applyFont="1" applyFill="0" applyBorder="1" applyAlignment="1" applyProtection="0">
      <alignment horizontal="left" vertical="bottom"/>
    </xf>
    <xf numFmtId="70" fontId="4" fillId="13" borderId="74" applyNumberFormat="1" applyFont="1" applyFill="1" applyBorder="1" applyAlignment="1" applyProtection="0">
      <alignment horizontal="center" vertical="bottom"/>
    </xf>
    <xf numFmtId="0" fontId="4" borderId="75" applyNumberFormat="1" applyFont="1" applyFill="0" applyBorder="1" applyAlignment="1" applyProtection="0">
      <alignment vertical="bottom"/>
    </xf>
    <xf numFmtId="1" fontId="4" borderId="24" applyNumberFormat="1" applyFont="1" applyFill="0" applyBorder="1" applyAlignment="1" applyProtection="0">
      <alignment vertical="bottom"/>
    </xf>
    <xf numFmtId="2" fontId="21" borderId="1" applyNumberFormat="1" applyFont="1" applyFill="0" applyBorder="1" applyAlignment="1" applyProtection="0">
      <alignment horizontal="left" vertical="bottom"/>
    </xf>
    <xf numFmtId="71" fontId="4" fillId="5" borderId="76" applyNumberFormat="1" applyFont="1" applyFill="1" applyBorder="1" applyAlignment="1" applyProtection="0">
      <alignment horizontal="center" vertical="bottom"/>
    </xf>
    <xf numFmtId="1" fontId="4" fillId="5" borderId="76" applyNumberFormat="1" applyFont="1" applyFill="1" applyBorder="1" applyAlignment="1" applyProtection="0">
      <alignment horizontal="center" vertical="bottom"/>
    </xf>
    <xf numFmtId="0" fontId="4" borderId="76" applyNumberFormat="1" applyFont="1" applyFill="0" applyBorder="1" applyAlignment="1" applyProtection="0">
      <alignment horizontal="center" vertical="bottom"/>
    </xf>
    <xf numFmtId="3" fontId="4" fillId="5" borderId="76" applyNumberFormat="1" applyFont="1" applyFill="1" applyBorder="1" applyAlignment="1" applyProtection="0">
      <alignment horizontal="center" vertical="bottom"/>
    </xf>
    <xf numFmtId="2" fontId="4" borderId="76" applyNumberFormat="1" applyFont="1" applyFill="0" applyBorder="1" applyAlignment="1" applyProtection="0">
      <alignment horizontal="center" vertical="bottom"/>
    </xf>
    <xf numFmtId="2" fontId="4" fillId="6" borderId="76" applyNumberFormat="1" applyFont="1" applyFill="1" applyBorder="1" applyAlignment="1" applyProtection="0">
      <alignment horizontal="center" vertical="bottom"/>
    </xf>
    <xf numFmtId="72" fontId="4" borderId="76" applyNumberFormat="1" applyFont="1" applyFill="0" applyBorder="1" applyAlignment="1" applyProtection="0">
      <alignment horizontal="center" vertical="bottom"/>
    </xf>
    <xf numFmtId="1" fontId="4" borderId="77" applyNumberFormat="1" applyFont="1" applyFill="0" applyBorder="1" applyAlignment="1" applyProtection="0">
      <alignment vertical="bottom"/>
    </xf>
    <xf numFmtId="2" fontId="49" borderId="1" applyNumberFormat="1" applyFont="1" applyFill="0" applyBorder="1" applyAlignment="1" applyProtection="0">
      <alignment horizontal="left" vertical="bottom"/>
    </xf>
    <xf numFmtId="2" fontId="4" borderId="77" applyNumberFormat="1" applyFont="1" applyFill="0" applyBorder="1" applyAlignment="1" applyProtection="0">
      <alignment vertical="bottom"/>
    </xf>
    <xf numFmtId="2" fontId="6" borderId="1" applyNumberFormat="1" applyFont="1" applyFill="0" applyBorder="1" applyAlignment="1" applyProtection="0">
      <alignment horizontal="left" vertical="bottom"/>
    </xf>
    <xf numFmtId="2" fontId="6" borderId="1" applyNumberFormat="1" applyFont="1" applyFill="0" applyBorder="1" applyAlignment="1" applyProtection="0">
      <alignment vertical="bottom"/>
    </xf>
    <xf numFmtId="2" fontId="6" borderId="1" applyNumberFormat="1" applyFont="1" applyFill="0" applyBorder="1" applyAlignment="1" applyProtection="0">
      <alignment horizontal="right" vertical="bottom"/>
    </xf>
    <xf numFmtId="2" fontId="6" borderId="11" applyNumberFormat="1" applyFont="1" applyFill="0" applyBorder="1" applyAlignment="1" applyProtection="0">
      <alignment horizontal="right" vertical="bottom"/>
    </xf>
    <xf numFmtId="1" fontId="21" borderId="1" applyNumberFormat="1" applyFont="1" applyFill="0" applyBorder="1" applyAlignment="1" applyProtection="0">
      <alignment horizontal="left" vertical="bottom"/>
    </xf>
    <xf numFmtId="73" fontId="21" borderId="1" applyNumberFormat="1" applyFont="1" applyFill="0" applyBorder="1" applyAlignment="1" applyProtection="0">
      <alignment horizontal="left" vertical="bottom"/>
    </xf>
    <xf numFmtId="0" fontId="6" borderId="1" applyNumberFormat="1" applyFont="1" applyFill="0" applyBorder="1" applyAlignment="1" applyProtection="0">
      <alignment horizontal="left" vertical="bottom"/>
    </xf>
    <xf numFmtId="10" fontId="6" borderId="1" applyNumberFormat="1" applyFont="1" applyFill="0" applyBorder="1" applyAlignment="1" applyProtection="0">
      <alignment vertical="bottom"/>
    </xf>
    <xf numFmtId="2" fontId="21" borderId="11" applyNumberFormat="1" applyFont="1" applyFill="0" applyBorder="1" applyAlignment="1" applyProtection="0">
      <alignment horizontal="left" vertical="bottom"/>
    </xf>
    <xf numFmtId="1" fontId="6" borderId="1" applyNumberFormat="1" applyFont="1" applyFill="0" applyBorder="1" applyAlignment="1" applyProtection="0">
      <alignment vertical="bottom"/>
    </xf>
    <xf numFmtId="73" fontId="6" borderId="1" applyNumberFormat="1" applyFont="1" applyFill="0" applyBorder="1" applyAlignment="1" applyProtection="0">
      <alignment vertical="bottom"/>
    </xf>
    <xf numFmtId="9" fontId="6" borderId="1" applyNumberFormat="1" applyFont="1" applyFill="0" applyBorder="1" applyAlignment="1" applyProtection="0">
      <alignment vertical="bottom"/>
    </xf>
    <xf numFmtId="1" fontId="4" fillId="5" borderId="78" applyNumberFormat="1" applyFont="1" applyFill="1" applyBorder="1" applyAlignment="1" applyProtection="0">
      <alignment horizontal="center" vertical="bottom"/>
    </xf>
    <xf numFmtId="0" fontId="4" borderId="78" applyNumberFormat="1" applyFont="1" applyFill="0" applyBorder="1" applyAlignment="1" applyProtection="0">
      <alignment horizontal="center" vertical="bottom"/>
    </xf>
    <xf numFmtId="3" fontId="4" fillId="5" borderId="78" applyNumberFormat="1" applyFont="1" applyFill="1" applyBorder="1" applyAlignment="1" applyProtection="0">
      <alignment horizontal="center" vertical="bottom"/>
    </xf>
    <xf numFmtId="2" fontId="4" fillId="6" borderId="78" applyNumberFormat="1" applyFont="1" applyFill="1" applyBorder="1" applyAlignment="1" applyProtection="0">
      <alignment horizontal="center" vertical="bottom"/>
    </xf>
    <xf numFmtId="72" fontId="4" borderId="78" applyNumberFormat="1" applyFont="1" applyFill="0" applyBorder="1" applyAlignment="1" applyProtection="0">
      <alignment horizontal="center" vertical="bottom"/>
    </xf>
    <xf numFmtId="74" fontId="6" borderId="1" applyNumberFormat="1" applyFont="1" applyFill="0" applyBorder="1" applyAlignment="1" applyProtection="0">
      <alignment vertical="bottom"/>
    </xf>
    <xf numFmtId="0" fontId="6" borderId="79" applyNumberFormat="1" applyFont="1" applyFill="0" applyBorder="1" applyAlignment="1" applyProtection="0">
      <alignment horizontal="center" vertical="bottom"/>
    </xf>
    <xf numFmtId="0" fontId="6" borderId="44" applyNumberFormat="1" applyFont="1" applyFill="0" applyBorder="1" applyAlignment="1" applyProtection="0">
      <alignment horizontal="center" vertical="bottom"/>
    </xf>
    <xf numFmtId="0" fontId="6" borderId="80" applyNumberFormat="1" applyFont="1" applyFill="0" applyBorder="1" applyAlignment="1" applyProtection="0">
      <alignment horizontal="right" vertical="bottom"/>
    </xf>
    <xf numFmtId="3" fontId="6" borderId="44" applyNumberFormat="1" applyFont="1" applyFill="0" applyBorder="1" applyAlignment="1" applyProtection="0">
      <alignment horizontal="center" vertical="bottom"/>
    </xf>
    <xf numFmtId="0" fontId="6" borderId="80" applyNumberFormat="1" applyFont="1" applyFill="0" applyBorder="1" applyAlignment="1" applyProtection="0">
      <alignment horizontal="center" vertical="bottom"/>
    </xf>
    <xf numFmtId="2" fontId="6" borderId="44" applyNumberFormat="1" applyFont="1" applyFill="0" applyBorder="1" applyAlignment="1" applyProtection="0">
      <alignment horizontal="center" vertical="bottom"/>
    </xf>
    <xf numFmtId="72" fontId="6" borderId="44" applyNumberFormat="1" applyFont="1" applyFill="0" applyBorder="1" applyAlignment="1" applyProtection="0">
      <alignment horizontal="center" vertical="bottom"/>
    </xf>
    <xf numFmtId="75" fontId="6" fillId="4" borderId="40" applyNumberFormat="1" applyFont="1" applyFill="1" applyBorder="1" applyAlignment="1" applyProtection="0">
      <alignment horizontal="center" vertical="bottom"/>
    </xf>
    <xf numFmtId="1" fontId="12" borderId="1" applyNumberFormat="1" applyFont="1" applyFill="0" applyBorder="1" applyAlignment="1" applyProtection="0">
      <alignment horizontal="center" vertical="bottom"/>
    </xf>
    <xf numFmtId="0" fontId="6" borderId="1" applyNumberFormat="1" applyFont="1" applyFill="0" applyBorder="1" applyAlignment="1" applyProtection="0">
      <alignment vertical="bottom"/>
    </xf>
    <xf numFmtId="1" fontId="6" borderId="1" applyNumberFormat="1" applyFont="1" applyFill="0" applyBorder="1" applyAlignment="1" applyProtection="0">
      <alignment horizontal="left" vertical="bottom"/>
    </xf>
    <xf numFmtId="59" fontId="6" borderId="1" applyNumberFormat="1" applyFont="1" applyFill="0" applyBorder="1" applyAlignment="1" applyProtection="0">
      <alignment horizontal="left" vertical="bottom"/>
    </xf>
    <xf numFmtId="1" fontId="50" borderId="1" applyNumberFormat="1" applyFont="1" applyFill="0" applyBorder="1" applyAlignment="1" applyProtection="0">
      <alignment vertical="top" wrapText="1"/>
    </xf>
    <xf numFmtId="1" fontId="50" borderId="1" applyNumberFormat="1" applyFont="1" applyFill="0" applyBorder="1" applyAlignment="1" applyProtection="0">
      <alignment horizontal="center" vertical="center" wrapText="1"/>
    </xf>
    <xf numFmtId="1" fontId="13" borderId="1" applyNumberFormat="1" applyFont="1" applyFill="0" applyBorder="1" applyAlignment="1" applyProtection="0">
      <alignment horizontal="center" vertical="bottom"/>
    </xf>
    <xf numFmtId="70" fontId="51" borderId="1" applyNumberFormat="1" applyFont="1" applyFill="0" applyBorder="1" applyAlignment="1" applyProtection="0">
      <alignment vertical="top" wrapText="1"/>
    </xf>
    <xf numFmtId="70" fontId="52" borderId="1" applyNumberFormat="1" applyFont="1" applyFill="0" applyBorder="1" applyAlignment="1" applyProtection="0">
      <alignment vertical="top" wrapText="1"/>
    </xf>
    <xf numFmtId="1" fontId="21" borderId="1" applyNumberFormat="1" applyFont="1" applyFill="0" applyBorder="1" applyAlignment="1" applyProtection="0">
      <alignment vertical="center"/>
    </xf>
    <xf numFmtId="59" fontId="21" borderId="6" applyNumberFormat="1" applyFont="1" applyFill="0" applyBorder="1" applyAlignment="1" applyProtection="0">
      <alignment vertical="bottom"/>
    </xf>
    <xf numFmtId="59" fontId="6" borderId="1" applyNumberFormat="1" applyFont="1" applyFill="0" applyBorder="1" applyAlignment="1" applyProtection="0">
      <alignment vertical="bottom"/>
    </xf>
    <xf numFmtId="76" fontId="6" borderId="1" applyNumberFormat="1" applyFont="1" applyFill="0" applyBorder="1" applyAlignment="1" applyProtection="0">
      <alignment vertical="bottom"/>
    </xf>
    <xf numFmtId="59" fontId="53" borderId="1" applyNumberFormat="1" applyFont="1" applyFill="0" applyBorder="1" applyAlignment="1" applyProtection="0">
      <alignment horizontal="center" vertical="bottom"/>
    </xf>
    <xf numFmtId="59" fontId="54" borderId="11" applyNumberFormat="1" applyFont="1" applyFill="0" applyBorder="1" applyAlignment="1" applyProtection="0">
      <alignment vertical="bottom"/>
    </xf>
    <xf numFmtId="0" fontId="49" borderId="11" applyNumberFormat="1" applyFont="1" applyFill="0" applyBorder="1" applyAlignment="1" applyProtection="0">
      <alignment horizontal="center" vertical="bottom"/>
    </xf>
    <xf numFmtId="59" fontId="6" borderId="11" applyNumberFormat="1" applyFont="1" applyFill="0" applyBorder="1" applyAlignment="1" applyProtection="0">
      <alignment vertical="bottom"/>
    </xf>
    <xf numFmtId="0" fontId="6" borderId="11" applyNumberFormat="1" applyFont="1" applyFill="0" applyBorder="1" applyAlignment="1" applyProtection="0">
      <alignment vertical="bottom"/>
    </xf>
    <xf numFmtId="1" fontId="7" borderId="1" applyNumberFormat="1" applyFont="1" applyFill="0" applyBorder="1" applyAlignment="1" applyProtection="0">
      <alignment horizontal="left" vertical="bottom"/>
    </xf>
    <xf numFmtId="0" fontId="13" borderId="6" applyNumberFormat="1" applyFont="1" applyFill="0" applyBorder="1" applyAlignment="1" applyProtection="0">
      <alignment horizontal="right" vertical="bottom"/>
    </xf>
    <xf numFmtId="0" fontId="6" borderId="1" applyNumberFormat="1" applyFont="1" applyFill="0" applyBorder="1" applyAlignment="1" applyProtection="0">
      <alignment horizontal="right" vertical="bottom"/>
    </xf>
    <xf numFmtId="0" fontId="6" borderId="11" applyNumberFormat="1" applyFont="1" applyFill="0" applyBorder="1" applyAlignment="1" applyProtection="0">
      <alignment horizontal="center" vertical="bottom"/>
    </xf>
    <xf numFmtId="59" fontId="21" borderId="11" applyNumberFormat="1" applyFont="1" applyFill="0" applyBorder="1" applyAlignment="1" applyProtection="0">
      <alignment vertical="bottom"/>
    </xf>
    <xf numFmtId="0" fontId="4" borderId="81" applyNumberFormat="1" applyFont="1" applyFill="0" applyBorder="1" applyAlignment="1" applyProtection="0">
      <alignment vertical="bottom"/>
    </xf>
    <xf numFmtId="59" fontId="55" borderId="1" applyNumberFormat="1" applyFont="1" applyFill="0" applyBorder="1" applyAlignment="1" applyProtection="0">
      <alignment vertical="bottom"/>
    </xf>
    <xf numFmtId="59" fontId="55" borderId="11" applyNumberFormat="1" applyFont="1" applyFill="0" applyBorder="1" applyAlignment="1" applyProtection="0">
      <alignment vertical="bottom"/>
    </xf>
    <xf numFmtId="59" fontId="21" borderId="1" applyNumberFormat="1" applyFont="1" applyFill="0" applyBorder="1" applyAlignment="1" applyProtection="0">
      <alignment horizontal="left" vertical="bottom"/>
    </xf>
    <xf numFmtId="59" fontId="24" borderId="1" applyNumberFormat="1" applyFont="1" applyFill="0" applyBorder="1" applyAlignment="1" applyProtection="0">
      <alignment horizontal="left" vertical="bottom"/>
    </xf>
    <xf numFmtId="1" fontId="4" borderId="38" applyNumberFormat="1" applyFont="1" applyFill="0" applyBorder="1" applyAlignment="1" applyProtection="0">
      <alignment vertical="bottom"/>
    </xf>
    <xf numFmtId="59" fontId="55" borderId="2" applyNumberFormat="1" applyFont="1" applyFill="0" applyBorder="1" applyAlignment="1" applyProtection="0">
      <alignment vertical="bottom"/>
    </xf>
    <xf numFmtId="59" fontId="55" borderId="14" applyNumberFormat="1" applyFont="1" applyFill="0" applyBorder="1" applyAlignment="1" applyProtection="0">
      <alignment vertical="bottom"/>
    </xf>
    <xf numFmtId="59" fontId="55" borderId="21" applyNumberFormat="1" applyFont="1" applyFill="0" applyBorder="1" applyAlignment="1" applyProtection="0">
      <alignment vertical="bottom"/>
    </xf>
    <xf numFmtId="0" fontId="48" borderId="1" applyNumberFormat="1" applyFont="1" applyFill="0" applyBorder="1" applyAlignment="1" applyProtection="0">
      <alignment horizontal="left" vertical="bottom"/>
    </xf>
    <xf numFmtId="0" fontId="48" borderId="75" applyNumberFormat="1" applyFont="1" applyFill="0" applyBorder="1" applyAlignment="1" applyProtection="0">
      <alignment horizontal="left" vertical="bottom"/>
    </xf>
    <xf numFmtId="0" fontId="4" borderId="14" applyNumberFormat="1" applyFont="1" applyFill="0" applyBorder="1" applyAlignment="1" applyProtection="0">
      <alignment horizontal="left" vertical="bottom"/>
    </xf>
    <xf numFmtId="0" fontId="48" borderId="13" applyNumberFormat="1" applyFont="1" applyFill="0" applyBorder="1" applyAlignment="1" applyProtection="0">
      <alignment horizontal="left" vertical="bottom"/>
    </xf>
    <xf numFmtId="1" fontId="4" borderId="82" applyNumberFormat="1" applyFont="1" applyFill="0" applyBorder="1" applyAlignment="1" applyProtection="0">
      <alignment vertical="bottom"/>
    </xf>
    <xf numFmtId="0" fontId="4" borderId="83" applyNumberFormat="1" applyFont="1" applyFill="0" applyBorder="1" applyAlignment="1" applyProtection="0">
      <alignment vertical="bottom"/>
    </xf>
    <xf numFmtId="0" fontId="7" borderId="15" applyNumberFormat="1" applyFont="1" applyFill="0" applyBorder="1" applyAlignment="1" applyProtection="0">
      <alignment vertical="bottom"/>
    </xf>
    <xf numFmtId="2" fontId="7" borderId="84" applyNumberFormat="1" applyFont="1" applyFill="0" applyBorder="1" applyAlignment="1" applyProtection="0">
      <alignment vertical="bottom"/>
    </xf>
    <xf numFmtId="1" fontId="7" borderId="85" applyNumberFormat="1" applyFont="1" applyFill="0" applyBorder="1" applyAlignment="1" applyProtection="0">
      <alignment vertical="bottom"/>
    </xf>
    <xf numFmtId="0" fontId="4" borderId="86" applyNumberFormat="1" applyFont="1" applyFill="0" applyBorder="1" applyAlignment="1" applyProtection="0">
      <alignment vertical="center"/>
    </xf>
    <xf numFmtId="59" fontId="4" borderId="87" applyNumberFormat="1" applyFont="1" applyFill="0" applyBorder="1" applyAlignment="1" applyProtection="0">
      <alignment horizontal="center" vertical="bottom"/>
    </xf>
    <xf numFmtId="70" fontId="4" borderId="88" applyNumberFormat="1" applyFont="1" applyFill="0" applyBorder="1" applyAlignment="1" applyProtection="0">
      <alignment horizontal="center" vertical="bottom"/>
    </xf>
    <xf numFmtId="70" fontId="4" borderId="87" applyNumberFormat="1" applyFont="1" applyFill="0" applyBorder="1" applyAlignment="1" applyProtection="0">
      <alignment horizontal="left" vertical="bottom"/>
    </xf>
    <xf numFmtId="0" fontId="4" borderId="89" applyNumberFormat="1" applyFont="1" applyFill="0" applyBorder="1" applyAlignment="1" applyProtection="0">
      <alignment horizontal="center" vertical="bottom"/>
    </xf>
    <xf numFmtId="1" fontId="4" borderId="1" applyNumberFormat="1" applyFont="1" applyFill="0" applyBorder="1" applyAlignment="1" applyProtection="0">
      <alignment horizontal="right" vertical="bottom"/>
    </xf>
    <xf numFmtId="70" fontId="4" borderId="90" applyNumberFormat="1" applyFont="1" applyFill="0" applyBorder="1" applyAlignment="1" applyProtection="0">
      <alignment horizontal="left" vertical="bottom"/>
    </xf>
    <xf numFmtId="0" fontId="56" borderId="1" applyNumberFormat="1" applyFont="1" applyFill="0" applyBorder="1" applyAlignment="1" applyProtection="0">
      <alignment vertical="bottom"/>
    </xf>
    <xf numFmtId="1" fontId="38" borderId="1" applyNumberFormat="1" applyFont="1" applyFill="0" applyBorder="1" applyAlignment="1" applyProtection="0">
      <alignment horizontal="left" vertical="bottom"/>
    </xf>
    <xf numFmtId="1" fontId="37" borderId="1" applyNumberFormat="1" applyFont="1" applyFill="0" applyBorder="1" applyAlignment="1" applyProtection="0">
      <alignment horizontal="left" vertical="bottom"/>
    </xf>
    <xf numFmtId="0" fontId="56" borderId="1" applyNumberFormat="1" applyFont="1" applyFill="0" applyBorder="1" applyAlignment="1" applyProtection="0">
      <alignment vertical="center"/>
    </xf>
    <xf numFmtId="0" fontId="56" borderId="1" applyNumberFormat="1" applyFont="1" applyFill="0" applyBorder="1" applyAlignment="1" applyProtection="0">
      <alignment vertical="top"/>
    </xf>
    <xf numFmtId="0" fontId="37" borderId="1" applyNumberFormat="1" applyFont="1" applyFill="0" applyBorder="1" applyAlignment="1" applyProtection="0">
      <alignment vertical="bottom"/>
    </xf>
    <xf numFmtId="1" fontId="37" borderId="1" applyNumberFormat="1" applyFont="1" applyFill="0" applyBorder="1" applyAlignment="1" applyProtection="0">
      <alignment vertical="bottom"/>
    </xf>
    <xf numFmtId="1" fontId="37" borderId="1" applyNumberFormat="1" applyFont="1" applyFill="0" applyBorder="1" applyAlignment="1" applyProtection="0">
      <alignment horizontal="center" vertical="bottom"/>
    </xf>
    <xf numFmtId="0" fontId="4" applyNumberFormat="1" applyFont="1" applyFill="0" applyBorder="0" applyAlignment="1" applyProtection="0">
      <alignment vertical="bottom"/>
    </xf>
    <xf numFmtId="0" fontId="43" fillId="4" borderId="1" applyNumberFormat="1" applyFont="1" applyFill="1" applyBorder="1" applyAlignment="1" applyProtection="0">
      <alignment vertical="bottom"/>
    </xf>
    <xf numFmtId="1" fontId="7" fillId="4" borderId="1" applyNumberFormat="1" applyFont="1" applyFill="1" applyBorder="1" applyAlignment="1" applyProtection="0">
      <alignment horizontal="right" vertical="bottom"/>
    </xf>
    <xf numFmtId="1" fontId="44" fillId="4" borderId="2" applyNumberFormat="1" applyFont="1" applyFill="1" applyBorder="1" applyAlignment="1" applyProtection="0">
      <alignment vertical="bottom"/>
    </xf>
    <xf numFmtId="0" fontId="8" fillId="4" borderId="2" applyNumberFormat="1" applyFont="1" applyFill="1" applyBorder="1" applyAlignment="1" applyProtection="0">
      <alignment vertical="bottom"/>
    </xf>
    <xf numFmtId="0" fontId="8" fillId="4" borderId="11" applyNumberFormat="1" applyFont="1" applyFill="1" applyBorder="1" applyAlignment="1" applyProtection="0">
      <alignment vertical="bottom"/>
    </xf>
    <xf numFmtId="0" fontId="13" fillId="4" borderId="4" applyNumberFormat="1" applyFont="1" applyFill="1" applyBorder="1" applyAlignment="1" applyProtection="0">
      <alignment horizontal="center" vertical="bottom"/>
    </xf>
    <xf numFmtId="1" fontId="13" fillId="4" borderId="5" applyNumberFormat="1" applyFont="1" applyFill="1" applyBorder="1" applyAlignment="1" applyProtection="0">
      <alignment horizontal="center" vertical="bottom"/>
    </xf>
    <xf numFmtId="1" fontId="7" fillId="4" borderId="49" applyNumberFormat="1" applyFont="1" applyFill="1" applyBorder="1" applyAlignment="1" applyProtection="0">
      <alignment vertical="bottom"/>
    </xf>
    <xf numFmtId="1" fontId="31" fillId="4" borderId="18" applyNumberFormat="1" applyFont="1" applyFill="1" applyBorder="1" applyAlignment="1" applyProtection="0">
      <alignment vertical="bottom"/>
    </xf>
    <xf numFmtId="0" fontId="21" fillId="4" borderId="20" applyNumberFormat="1" applyFont="1" applyFill="1" applyBorder="1" applyAlignment="1" applyProtection="0">
      <alignment horizontal="left" vertical="center"/>
    </xf>
    <xf numFmtId="1" fontId="21" fillId="4" borderId="22" applyNumberFormat="1" applyFont="1" applyFill="1" applyBorder="1" applyAlignment="1" applyProtection="0">
      <alignment vertical="center"/>
    </xf>
    <xf numFmtId="1" fontId="22" fillId="4" borderId="1" applyNumberFormat="1" applyFont="1" applyFill="1" applyBorder="1" applyAlignment="1" applyProtection="0">
      <alignment vertical="bottom"/>
    </xf>
    <xf numFmtId="0" fontId="8" fillId="4" borderId="21" applyNumberFormat="1" applyFont="1" applyFill="1" applyBorder="1" applyAlignment="1" applyProtection="0">
      <alignment vertical="bottom"/>
    </xf>
    <xf numFmtId="0" fontId="6" fillId="4" borderId="7" applyNumberFormat="1" applyFont="1" applyFill="1" applyBorder="1" applyAlignment="1" applyProtection="0">
      <alignment horizontal="center" vertical="center" wrapText="1"/>
    </xf>
    <xf numFmtId="1" fontId="7" fillId="4" borderId="1" applyNumberFormat="1" applyFont="1" applyFill="1" applyBorder="1" applyAlignment="1" applyProtection="0">
      <alignment horizontal="center" vertical="bottom" wrapText="1"/>
    </xf>
    <xf numFmtId="1" fontId="7" fillId="4" borderId="1" applyNumberFormat="1" applyFont="1" applyFill="1" applyBorder="1" applyAlignment="1" applyProtection="0">
      <alignment vertical="bottom" wrapText="1"/>
    </xf>
    <xf numFmtId="0" fontId="7" fillId="4" borderId="1" applyNumberFormat="1" applyFont="1" applyFill="1" applyBorder="1" applyAlignment="1" applyProtection="0">
      <alignment horizontal="center" vertical="bottom" wrapText="1"/>
    </xf>
    <xf numFmtId="1" fontId="33" fillId="4" borderId="1" applyNumberFormat="1" applyFont="1" applyFill="1" applyBorder="1" applyAlignment="1" applyProtection="0">
      <alignment vertical="center"/>
    </xf>
    <xf numFmtId="59" fontId="46" fillId="4" borderId="8" applyNumberFormat="1" applyFont="1" applyFill="1" applyBorder="1" applyAlignment="1" applyProtection="0">
      <alignment horizontal="center" vertical="bottom"/>
    </xf>
    <xf numFmtId="10" fontId="21" fillId="4" borderId="15" applyNumberFormat="1" applyFont="1" applyFill="1" applyBorder="1" applyAlignment="1" applyProtection="0">
      <alignment vertical="bottom"/>
    </xf>
    <xf numFmtId="59" fontId="21" fillId="4" borderId="9" applyNumberFormat="1" applyFont="1" applyFill="1" applyBorder="1" applyAlignment="1" applyProtection="0">
      <alignment vertical="bottom"/>
    </xf>
    <xf numFmtId="1" fontId="6" fillId="4" borderId="10" applyNumberFormat="1" applyFont="1" applyFill="1" applyBorder="1" applyAlignment="1" applyProtection="0">
      <alignment vertical="bottom"/>
    </xf>
    <xf numFmtId="0" fontId="6" fillId="4" borderId="10" applyNumberFormat="1" applyFont="1" applyFill="1" applyBorder="1" applyAlignment="1" applyProtection="0">
      <alignment horizontal="center" vertical="bottom"/>
    </xf>
    <xf numFmtId="0" fontId="7" fillId="4" borderId="49" applyNumberFormat="1" applyFont="1" applyFill="1" applyBorder="1" applyAlignment="1" applyProtection="0">
      <alignment vertical="bottom"/>
    </xf>
    <xf numFmtId="2" fontId="21" fillId="4" borderId="6" applyNumberFormat="1" applyFont="1" applyFill="1" applyBorder="1" applyAlignment="1" applyProtection="0">
      <alignment vertical="bottom"/>
    </xf>
    <xf numFmtId="0" fontId="47" fillId="4" borderId="1" applyNumberFormat="1" applyFont="1" applyFill="1" applyBorder="1" applyAlignment="1" applyProtection="0">
      <alignment horizontal="left" vertical="bottom"/>
    </xf>
    <xf numFmtId="2" fontId="21" fillId="4" borderId="1" applyNumberFormat="1" applyFont="1" applyFill="1" applyBorder="1" applyAlignment="1" applyProtection="0">
      <alignment vertical="bottom"/>
    </xf>
    <xf numFmtId="2" fontId="21" fillId="4" borderId="11" applyNumberFormat="1" applyFont="1" applyFill="1" applyBorder="1" applyAlignment="1" applyProtection="0">
      <alignment vertical="bottom"/>
    </xf>
    <xf numFmtId="0" fontId="6" fillId="4" borderId="12" applyNumberFormat="1" applyFont="1" applyFill="1" applyBorder="1" applyAlignment="1" applyProtection="0">
      <alignment horizontal="center" vertical="bottom"/>
    </xf>
    <xf numFmtId="1" fontId="6" fillId="4" borderId="12" applyNumberFormat="1" applyFont="1" applyFill="1" applyBorder="1" applyAlignment="1" applyProtection="0">
      <alignment horizontal="center" vertical="bottom"/>
    </xf>
    <xf numFmtId="1" fontId="6" fillId="4" borderId="12" applyNumberFormat="1" applyFont="1" applyFill="1" applyBorder="1" applyAlignment="1" applyProtection="0">
      <alignment vertical="bottom"/>
    </xf>
    <xf numFmtId="1" fontId="7" fillId="4" borderId="18" applyNumberFormat="1" applyFont="1" applyFill="1" applyBorder="1" applyAlignment="1" applyProtection="0">
      <alignment vertical="bottom"/>
    </xf>
    <xf numFmtId="2" fontId="47" fillId="4" borderId="1" applyNumberFormat="1" applyFont="1" applyFill="1" applyBorder="1" applyAlignment="1" applyProtection="0">
      <alignment horizontal="left" vertical="bottom"/>
    </xf>
    <xf numFmtId="0" fontId="4" fillId="5" borderId="73" applyNumberFormat="1" applyFont="1" applyFill="1" applyBorder="1" applyAlignment="1" applyProtection="0">
      <alignment horizontal="center" vertical="bottom"/>
    </xf>
    <xf numFmtId="0" fontId="4" fillId="4" borderId="73" applyNumberFormat="1" applyFont="1" applyFill="1" applyBorder="1" applyAlignment="1" applyProtection="0">
      <alignment horizontal="center" vertical="bottom"/>
    </xf>
    <xf numFmtId="10" fontId="4" fillId="5" borderId="73" applyNumberFormat="1" applyFont="1" applyFill="1" applyBorder="1" applyAlignment="1" applyProtection="0">
      <alignment horizontal="center" vertical="bottom"/>
    </xf>
    <xf numFmtId="2" fontId="4" fillId="4" borderId="73" applyNumberFormat="1" applyFont="1" applyFill="1" applyBorder="1" applyAlignment="1" applyProtection="0">
      <alignment horizontal="center" vertical="bottom"/>
    </xf>
    <xf numFmtId="4" fontId="4" fillId="4" borderId="73" applyNumberFormat="1" applyFont="1" applyFill="1" applyBorder="1" applyAlignment="1" applyProtection="0">
      <alignment horizontal="center" vertical="bottom"/>
    </xf>
    <xf numFmtId="2" fontId="4" fillId="4" borderId="1" applyNumberFormat="1" applyFont="1" applyFill="1" applyBorder="1" applyAlignment="1" applyProtection="0">
      <alignment horizontal="center" vertical="bottom"/>
    </xf>
    <xf numFmtId="1" fontId="4" fillId="4" borderId="1" applyNumberFormat="1" applyFont="1" applyFill="1" applyBorder="1" applyAlignment="1" applyProtection="0">
      <alignment horizontal="left" vertical="bottom"/>
    </xf>
    <xf numFmtId="0" fontId="4" fillId="4" borderId="1" applyNumberFormat="1" applyFont="1" applyFill="1" applyBorder="1" applyAlignment="1" applyProtection="0">
      <alignment vertical="bottom"/>
    </xf>
    <xf numFmtId="1" fontId="4" fillId="4" borderId="11" applyNumberFormat="1" applyFont="1" applyFill="1" applyBorder="1" applyAlignment="1" applyProtection="0">
      <alignment horizontal="left" vertical="bottom"/>
    </xf>
    <xf numFmtId="0" fontId="4" fillId="4" borderId="24" applyNumberFormat="1" applyFont="1" applyFill="1" applyBorder="1" applyAlignment="1" applyProtection="0">
      <alignment vertical="bottom"/>
    </xf>
    <xf numFmtId="0" fontId="8" fillId="4" borderId="81" applyNumberFormat="1" applyFont="1" applyFill="1" applyBorder="1" applyAlignment="1" applyProtection="0">
      <alignment vertical="bottom"/>
    </xf>
    <xf numFmtId="2" fontId="21" fillId="4" borderId="1" applyNumberFormat="1" applyFont="1" applyFill="1" applyBorder="1" applyAlignment="1" applyProtection="0">
      <alignment horizontal="left" vertical="bottom"/>
    </xf>
    <xf numFmtId="0" fontId="4" fillId="5" borderId="76" applyNumberFormat="1" applyFont="1" applyFill="1" applyBorder="1" applyAlignment="1" applyProtection="0">
      <alignment horizontal="center" vertical="bottom"/>
    </xf>
    <xf numFmtId="0" fontId="4" fillId="4" borderId="76" applyNumberFormat="1" applyFont="1" applyFill="1" applyBorder="1" applyAlignment="1" applyProtection="0">
      <alignment horizontal="center" vertical="bottom"/>
    </xf>
    <xf numFmtId="10" fontId="4" fillId="5" borderId="76" applyNumberFormat="1" applyFont="1" applyFill="1" applyBorder="1" applyAlignment="1" applyProtection="0">
      <alignment horizontal="center" vertical="bottom"/>
    </xf>
    <xf numFmtId="2" fontId="4" fillId="4" borderId="76" applyNumberFormat="1" applyFont="1" applyFill="1" applyBorder="1" applyAlignment="1" applyProtection="0">
      <alignment horizontal="center" vertical="bottom"/>
    </xf>
    <xf numFmtId="4" fontId="4" fillId="4" borderId="76" applyNumberFormat="1" applyFont="1" applyFill="1" applyBorder="1" applyAlignment="1" applyProtection="0">
      <alignment horizontal="center" vertical="bottom"/>
    </xf>
    <xf numFmtId="2" fontId="49" fillId="4" borderId="1" applyNumberFormat="1" applyFont="1" applyFill="1" applyBorder="1" applyAlignment="1" applyProtection="0">
      <alignment horizontal="left" vertical="bottom"/>
    </xf>
    <xf numFmtId="2" fontId="6" fillId="4" borderId="1" applyNumberFormat="1" applyFont="1" applyFill="1" applyBorder="1" applyAlignment="1" applyProtection="0">
      <alignment horizontal="left" vertical="bottom"/>
    </xf>
    <xf numFmtId="2" fontId="6" fillId="4" borderId="1" applyNumberFormat="1" applyFont="1" applyFill="1" applyBorder="1" applyAlignment="1" applyProtection="0">
      <alignment vertical="bottom"/>
    </xf>
    <xf numFmtId="2" fontId="6" fillId="4" borderId="1" applyNumberFormat="1" applyFont="1" applyFill="1" applyBorder="1" applyAlignment="1" applyProtection="0">
      <alignment horizontal="right" vertical="bottom"/>
    </xf>
    <xf numFmtId="2" fontId="6" fillId="4" borderId="11" applyNumberFormat="1" applyFont="1" applyFill="1" applyBorder="1" applyAlignment="1" applyProtection="0">
      <alignment horizontal="right" vertical="bottom"/>
    </xf>
    <xf numFmtId="1" fontId="21" fillId="4" borderId="1" applyNumberFormat="1" applyFont="1" applyFill="1" applyBorder="1" applyAlignment="1" applyProtection="0">
      <alignment horizontal="left" vertical="bottom"/>
    </xf>
    <xf numFmtId="73" fontId="21" fillId="4" borderId="1" applyNumberFormat="1" applyFont="1" applyFill="1" applyBorder="1" applyAlignment="1" applyProtection="0">
      <alignment horizontal="left" vertical="bottom"/>
    </xf>
    <xf numFmtId="0" fontId="6" fillId="4" borderId="1" applyNumberFormat="1" applyFont="1" applyFill="1" applyBorder="1" applyAlignment="1" applyProtection="0">
      <alignment horizontal="left" vertical="bottom"/>
    </xf>
    <xf numFmtId="10" fontId="6" fillId="4" borderId="1" applyNumberFormat="1" applyFont="1" applyFill="1" applyBorder="1" applyAlignment="1" applyProtection="0">
      <alignment vertical="bottom"/>
    </xf>
    <xf numFmtId="2" fontId="21" fillId="4" borderId="11" applyNumberFormat="1" applyFont="1" applyFill="1" applyBorder="1" applyAlignment="1" applyProtection="0">
      <alignment horizontal="left" vertical="bottom"/>
    </xf>
    <xf numFmtId="73" fontId="6" fillId="4" borderId="1" applyNumberFormat="1" applyFont="1" applyFill="1" applyBorder="1" applyAlignment="1" applyProtection="0">
      <alignment vertical="bottom"/>
    </xf>
    <xf numFmtId="9" fontId="6" fillId="4" borderId="1" applyNumberFormat="1" applyFont="1" applyFill="1" applyBorder="1" applyAlignment="1" applyProtection="0">
      <alignment vertical="bottom"/>
    </xf>
    <xf numFmtId="0" fontId="4" fillId="4" borderId="91" applyNumberFormat="1" applyFont="1" applyFill="1" applyBorder="1" applyAlignment="1" applyProtection="0">
      <alignment horizontal="center" vertical="bottom"/>
    </xf>
    <xf numFmtId="0" fontId="4" fillId="4" borderId="78" applyNumberFormat="1" applyFont="1" applyFill="1" applyBorder="1" applyAlignment="1" applyProtection="0">
      <alignment horizontal="center" vertical="bottom"/>
    </xf>
    <xf numFmtId="10" fontId="4" fillId="5" borderId="78" applyNumberFormat="1" applyFont="1" applyFill="1" applyBorder="1" applyAlignment="1" applyProtection="0">
      <alignment horizontal="center" vertical="bottom"/>
    </xf>
    <xf numFmtId="2" fontId="4" fillId="4" borderId="78" applyNumberFormat="1" applyFont="1" applyFill="1" applyBorder="1" applyAlignment="1" applyProtection="0">
      <alignment horizontal="center" vertical="bottom"/>
    </xf>
    <xf numFmtId="4" fontId="4" fillId="4" borderId="78" applyNumberFormat="1" applyFont="1" applyFill="1" applyBorder="1" applyAlignment="1" applyProtection="0">
      <alignment horizontal="center" vertical="bottom"/>
    </xf>
    <xf numFmtId="74" fontId="6" fillId="4" borderId="1" applyNumberFormat="1" applyFont="1" applyFill="1" applyBorder="1" applyAlignment="1" applyProtection="0">
      <alignment vertical="bottom"/>
    </xf>
    <xf numFmtId="0" fontId="6" fillId="4" borderId="79" applyNumberFormat="1" applyFont="1" applyFill="1" applyBorder="1" applyAlignment="1" applyProtection="0">
      <alignment horizontal="center" vertical="bottom"/>
    </xf>
    <xf numFmtId="0" fontId="6" fillId="4" borderId="44" applyNumberFormat="1" applyFont="1" applyFill="1" applyBorder="1" applyAlignment="1" applyProtection="0">
      <alignment horizontal="center" vertical="bottom"/>
    </xf>
    <xf numFmtId="0" fontId="6" fillId="4" borderId="92" applyNumberFormat="1" applyFont="1" applyFill="1" applyBorder="1" applyAlignment="1" applyProtection="0">
      <alignment horizontal="right" vertical="bottom"/>
    </xf>
    <xf numFmtId="1" fontId="4" fillId="4" borderId="92" applyNumberFormat="1" applyFont="1" applyFill="1" applyBorder="1" applyAlignment="1" applyProtection="0">
      <alignment vertical="bottom"/>
    </xf>
    <xf numFmtId="3" fontId="6" fillId="4" borderId="44" applyNumberFormat="1" applyFont="1" applyFill="1" applyBorder="1" applyAlignment="1" applyProtection="0">
      <alignment horizontal="center" vertical="bottom"/>
    </xf>
    <xf numFmtId="2" fontId="6" fillId="4" borderId="44" applyNumberFormat="1" applyFont="1" applyFill="1" applyBorder="1" applyAlignment="1" applyProtection="0">
      <alignment horizontal="center" vertical="bottom"/>
    </xf>
    <xf numFmtId="4" fontId="6" fillId="4" borderId="44" applyNumberFormat="1" applyFont="1" applyFill="1" applyBorder="1" applyAlignment="1" applyProtection="0">
      <alignment horizontal="center" vertical="bottom"/>
    </xf>
    <xf numFmtId="0" fontId="8" fillId="4" borderId="39" applyNumberFormat="1" applyFont="1" applyFill="1" applyBorder="1" applyAlignment="1" applyProtection="0">
      <alignment vertical="bottom"/>
    </xf>
    <xf numFmtId="0" fontId="8" fillId="4" borderId="40" applyNumberFormat="1" applyFont="1" applyFill="1" applyBorder="1" applyAlignment="1" applyProtection="0">
      <alignment vertical="bottom"/>
    </xf>
    <xf numFmtId="1" fontId="21" fillId="4" borderId="1" applyNumberFormat="1" applyFont="1" applyFill="1" applyBorder="1" applyAlignment="1" applyProtection="0">
      <alignment vertical="bottom"/>
    </xf>
    <xf numFmtId="1" fontId="7" fillId="4" borderId="1" applyNumberFormat="1" applyFont="1" applyFill="1" applyBorder="1" applyAlignment="1" applyProtection="0">
      <alignment horizontal="center" vertical="bottom"/>
    </xf>
    <xf numFmtId="1" fontId="6" fillId="4" borderId="1" applyNumberFormat="1" applyFont="1" applyFill="1" applyBorder="1" applyAlignment="1" applyProtection="0">
      <alignment horizontal="left" vertical="bottom"/>
    </xf>
    <xf numFmtId="59" fontId="6" fillId="4" borderId="1" applyNumberFormat="1" applyFont="1" applyFill="1" applyBorder="1" applyAlignment="1" applyProtection="0">
      <alignment horizontal="left" vertical="bottom"/>
    </xf>
    <xf numFmtId="0" fontId="6" borderId="49" applyNumberFormat="1" applyFont="1" applyFill="0" applyBorder="1" applyAlignment="1" applyProtection="0">
      <alignment horizontal="left" vertical="bottom"/>
    </xf>
    <xf numFmtId="59" fontId="21" fillId="4" borderId="25" applyNumberFormat="1" applyFont="1" applyFill="1" applyBorder="1" applyAlignment="1" applyProtection="0">
      <alignment horizontal="left" vertical="bottom"/>
    </xf>
    <xf numFmtId="59" fontId="21" fillId="4" borderId="48" applyNumberFormat="1" applyFont="1" applyFill="1" applyBorder="1" applyAlignment="1" applyProtection="0">
      <alignment horizontal="left" vertical="bottom"/>
    </xf>
    <xf numFmtId="59" fontId="21" fillId="4" borderId="1" applyNumberFormat="1" applyFont="1" applyFill="1" applyBorder="1" applyAlignment="1" applyProtection="0">
      <alignment horizontal="right" vertical="bottom"/>
    </xf>
    <xf numFmtId="77" fontId="21" fillId="4" borderId="1" applyNumberFormat="1" applyFont="1" applyFill="1" applyBorder="1" applyAlignment="1" applyProtection="0">
      <alignment horizontal="right" vertical="bottom"/>
    </xf>
    <xf numFmtId="0" fontId="6" borderId="18" applyNumberFormat="1" applyFont="1" applyFill="0" applyBorder="1" applyAlignment="1" applyProtection="0">
      <alignment horizontal="left" vertical="bottom"/>
    </xf>
    <xf numFmtId="59" fontId="24" fillId="4" borderId="1" applyNumberFormat="1" applyFont="1" applyFill="1" applyBorder="1" applyAlignment="1" applyProtection="0">
      <alignment horizontal="left" vertical="bottom"/>
    </xf>
    <xf numFmtId="59" fontId="24" fillId="4" borderId="18" applyNumberFormat="1" applyFont="1" applyFill="1" applyBorder="1" applyAlignment="1" applyProtection="0">
      <alignment vertical="bottom"/>
    </xf>
    <xf numFmtId="1" fontId="24" fillId="4" borderId="1" applyNumberFormat="1" applyFont="1" applyFill="1" applyBorder="1" applyAlignment="1" applyProtection="0">
      <alignment horizontal="right" vertical="bottom"/>
    </xf>
    <xf numFmtId="59" fontId="21" fillId="4" borderId="49" applyNumberFormat="1" applyFont="1" applyFill="1" applyBorder="1" applyAlignment="1" applyProtection="0">
      <alignment horizontal="left" vertical="bottom"/>
    </xf>
    <xf numFmtId="10" fontId="21" fillId="4" borderId="1" applyNumberFormat="1" applyFont="1" applyFill="1" applyBorder="1" applyAlignment="1" applyProtection="0">
      <alignment horizontal="right" vertical="bottom"/>
    </xf>
    <xf numFmtId="76" fontId="6" fillId="4" borderId="1" applyNumberFormat="1" applyFont="1" applyFill="1" applyBorder="1" applyAlignment="1" applyProtection="0">
      <alignment vertical="bottom"/>
    </xf>
    <xf numFmtId="0" fontId="53" fillId="4" borderId="1" applyNumberFormat="1" applyFont="1" applyFill="1" applyBorder="1" applyAlignment="1" applyProtection="0">
      <alignment horizontal="center" vertical="bottom"/>
    </xf>
    <xf numFmtId="59" fontId="54" fillId="4" borderId="11" applyNumberFormat="1" applyFont="1" applyFill="1" applyBorder="1" applyAlignment="1" applyProtection="0">
      <alignment vertical="bottom"/>
    </xf>
    <xf numFmtId="59" fontId="21" fillId="4" borderId="41" applyNumberFormat="1" applyFont="1" applyFill="1" applyBorder="1" applyAlignment="1" applyProtection="0">
      <alignment vertical="bottom"/>
    </xf>
    <xf numFmtId="59" fontId="21" fillId="4" borderId="19" applyNumberFormat="1" applyFont="1" applyFill="1" applyBorder="1" applyAlignment="1" applyProtection="0">
      <alignment vertical="bottom"/>
    </xf>
    <xf numFmtId="59" fontId="53" fillId="4" borderId="1" applyNumberFormat="1" applyFont="1" applyFill="1" applyBorder="1" applyAlignment="1" applyProtection="0">
      <alignment horizontal="center" vertical="bottom"/>
    </xf>
    <xf numFmtId="0" fontId="49" fillId="4" borderId="11" applyNumberFormat="1" applyFont="1" applyFill="1" applyBorder="1" applyAlignment="1" applyProtection="0">
      <alignment horizontal="center" vertical="bottom"/>
    </xf>
    <xf numFmtId="59" fontId="6" fillId="4" borderId="11" applyNumberFormat="1" applyFont="1" applyFill="1" applyBorder="1" applyAlignment="1" applyProtection="0">
      <alignment vertical="bottom"/>
    </xf>
    <xf numFmtId="0" fontId="6" fillId="4" borderId="11" applyNumberFormat="1" applyFont="1" applyFill="1" applyBorder="1" applyAlignment="1" applyProtection="0">
      <alignment vertical="bottom"/>
    </xf>
    <xf numFmtId="0" fontId="13" fillId="4" borderId="6" applyNumberFormat="1" applyFont="1" applyFill="1" applyBorder="1" applyAlignment="1" applyProtection="0">
      <alignment horizontal="right" vertical="bottom"/>
    </xf>
    <xf numFmtId="0" fontId="6" fillId="4" borderId="1" applyNumberFormat="1" applyFont="1" applyFill="1" applyBorder="1" applyAlignment="1" applyProtection="0">
      <alignment horizontal="right" vertical="bottom"/>
    </xf>
    <xf numFmtId="0" fontId="6" fillId="4" borderId="11" applyNumberFormat="1" applyFont="1" applyFill="1" applyBorder="1" applyAlignment="1" applyProtection="0">
      <alignment horizontal="center" vertical="bottom"/>
    </xf>
    <xf numFmtId="0" fontId="8" fillId="4" borderId="13" applyNumberFormat="1" applyFont="1" applyFill="1" applyBorder="1" applyAlignment="1" applyProtection="0">
      <alignment vertical="bottom"/>
    </xf>
    <xf numFmtId="59" fontId="21" fillId="4" borderId="11" applyNumberFormat="1" applyFont="1" applyFill="1" applyBorder="1" applyAlignment="1" applyProtection="0">
      <alignment vertical="bottom"/>
    </xf>
    <xf numFmtId="0" fontId="7" borderId="4" applyNumberFormat="1" applyFont="1" applyFill="0" applyBorder="1" applyAlignment="1" applyProtection="0">
      <alignment horizontal="center" vertical="bottom"/>
    </xf>
    <xf numFmtId="1" fontId="7" borderId="5" applyNumberFormat="1" applyFont="1" applyFill="0" applyBorder="1" applyAlignment="1" applyProtection="0">
      <alignment horizontal="center" vertical="bottom"/>
    </xf>
    <xf numFmtId="59" fontId="55" fillId="4" borderId="1" applyNumberFormat="1" applyFont="1" applyFill="1" applyBorder="1" applyAlignment="1" applyProtection="0">
      <alignment vertical="bottom"/>
    </xf>
    <xf numFmtId="59" fontId="55" fillId="4" borderId="11" applyNumberFormat="1" applyFont="1" applyFill="1" applyBorder="1" applyAlignment="1" applyProtection="0">
      <alignment vertical="bottom"/>
    </xf>
    <xf numFmtId="0" fontId="4" fillId="4" borderId="81" applyNumberFormat="1" applyFont="1" applyFill="1" applyBorder="1" applyAlignment="1" applyProtection="0">
      <alignment vertical="bottom"/>
    </xf>
    <xf numFmtId="59" fontId="55" borderId="49" applyNumberFormat="1" applyFont="1" applyFill="0" applyBorder="1" applyAlignment="1" applyProtection="0">
      <alignment vertical="bottom"/>
    </xf>
    <xf numFmtId="59" fontId="55" borderId="93" applyNumberFormat="1" applyFont="1" applyFill="0" applyBorder="1" applyAlignment="1" applyProtection="0">
      <alignment vertical="bottom"/>
    </xf>
    <xf numFmtId="1" fontId="4" fillId="4" borderId="24" applyNumberFormat="1" applyFont="1" applyFill="1" applyBorder="1" applyAlignment="1" applyProtection="0">
      <alignment vertical="bottom"/>
    </xf>
    <xf numFmtId="1" fontId="4" fillId="4" borderId="38" applyNumberFormat="1" applyFont="1" applyFill="1" applyBorder="1" applyAlignment="1" applyProtection="0">
      <alignment vertical="bottom"/>
    </xf>
    <xf numFmtId="0" fontId="4" fillId="4" borderId="11" applyNumberFormat="1" applyFont="1" applyFill="1" applyBorder="1" applyAlignment="1" applyProtection="0">
      <alignment vertical="bottom"/>
    </xf>
    <xf numFmtId="59" fontId="55" borderId="94" applyNumberFormat="1" applyFont="1" applyFill="0" applyBorder="1" applyAlignment="1" applyProtection="0">
      <alignment vertical="bottom"/>
    </xf>
    <xf numFmtId="59" fontId="55" fillId="4" borderId="2" applyNumberFormat="1" applyFont="1" applyFill="1" applyBorder="1" applyAlignment="1" applyProtection="0">
      <alignment vertical="bottom"/>
    </xf>
    <xf numFmtId="59" fontId="55" fillId="4" borderId="14" applyNumberFormat="1" applyFont="1" applyFill="1" applyBorder="1" applyAlignment="1" applyProtection="0">
      <alignment vertical="bottom"/>
    </xf>
    <xf numFmtId="59" fontId="55" fillId="4" borderId="21" applyNumberFormat="1" applyFont="1" applyFill="1" applyBorder="1" applyAlignment="1" applyProtection="0">
      <alignment vertical="bottom"/>
    </xf>
    <xf numFmtId="0" fontId="21" fillId="4" borderId="1" applyNumberFormat="1" applyFont="1" applyFill="1" applyBorder="1" applyAlignment="1" applyProtection="0">
      <alignment vertical="bottom"/>
    </xf>
    <xf numFmtId="0" fontId="21" fillId="4" borderId="49" applyNumberFormat="1" applyFont="1" applyFill="1" applyBorder="1" applyAlignment="1" applyProtection="0">
      <alignment vertical="bottom"/>
    </xf>
    <xf numFmtId="59" fontId="21" fillId="4" borderId="93" applyNumberFormat="1" applyFont="1" applyFill="1" applyBorder="1" applyAlignment="1" applyProtection="0">
      <alignment vertical="bottom"/>
    </xf>
    <xf numFmtId="59" fontId="21" fillId="4" borderId="18" applyNumberFormat="1" applyFont="1" applyFill="1" applyBorder="1" applyAlignment="1" applyProtection="0">
      <alignment vertical="bottom"/>
    </xf>
    <xf numFmtId="0" fontId="4" applyNumberFormat="1" applyFont="1" applyFill="0" applyBorder="0" applyAlignment="1" applyProtection="0">
      <alignment vertical="bottom"/>
    </xf>
    <xf numFmtId="0" fontId="4" borderId="18" applyNumberFormat="1" applyFont="1" applyFill="0" applyBorder="1" applyAlignment="1" applyProtection="0">
      <alignment vertical="bottom"/>
    </xf>
    <xf numFmtId="2" fontId="4" borderId="18" applyNumberFormat="1" applyFont="1" applyFill="0" applyBorder="1" applyAlignment="1" applyProtection="0">
      <alignment vertical="bottom"/>
    </xf>
    <xf numFmtId="2" fontId="4" borderId="41" applyNumberFormat="1" applyFont="1" applyFill="0" applyBorder="1" applyAlignment="1" applyProtection="0">
      <alignment vertical="bottom"/>
    </xf>
    <xf numFmtId="2" fontId="4" borderId="1" applyNumberFormat="1" applyFont="1" applyFill="0" applyBorder="1" applyAlignment="1" applyProtection="0">
      <alignment vertical="bottom"/>
    </xf>
    <xf numFmtId="0" fontId="6" fillId="4" borderId="7" applyNumberFormat="1" applyFont="1" applyFill="1" applyBorder="1" applyAlignment="1" applyProtection="0">
      <alignment horizontal="center" vertical="bottom" wrapText="1"/>
    </xf>
    <xf numFmtId="0" fontId="4" borderId="1" applyNumberFormat="1" applyFont="1" applyFill="0" applyBorder="1" applyAlignment="1" applyProtection="0">
      <alignment vertical="bottom" wrapText="1"/>
    </xf>
    <xf numFmtId="1" fontId="7" borderId="1" applyNumberFormat="1" applyFont="1" applyFill="0" applyBorder="1" applyAlignment="1" applyProtection="0">
      <alignment vertical="bottom" wrapText="1"/>
    </xf>
    <xf numFmtId="0" fontId="55" borderId="1" applyNumberFormat="1" applyFont="1" applyFill="0" applyBorder="1" applyAlignment="1" applyProtection="0">
      <alignment vertical="bottom"/>
    </xf>
    <xf numFmtId="1" fontId="6" borderId="10" applyNumberFormat="1" applyFont="1" applyFill="0" applyBorder="1" applyAlignment="1" applyProtection="0">
      <alignment horizontal="center" vertical="bottom"/>
    </xf>
    <xf numFmtId="65" fontId="21" borderId="1" applyNumberFormat="1" applyFont="1" applyFill="0" applyBorder="1" applyAlignment="1" applyProtection="0">
      <alignment horizontal="center" vertical="bottom"/>
    </xf>
    <xf numFmtId="1" fontId="6" borderId="95" applyNumberFormat="1" applyFont="1" applyFill="0" applyBorder="1" applyAlignment="1" applyProtection="0">
      <alignment horizontal="center" vertical="bottom"/>
    </xf>
    <xf numFmtId="10" fontId="4" fillId="4" borderId="73" applyNumberFormat="1" applyFont="1" applyFill="1" applyBorder="1" applyAlignment="1" applyProtection="0">
      <alignment horizontal="center" vertical="bottom"/>
    </xf>
    <xf numFmtId="3" fontId="4" borderId="73" applyNumberFormat="1" applyFont="1" applyFill="0" applyBorder="1" applyAlignment="1" applyProtection="0">
      <alignment horizontal="center" vertical="bottom"/>
    </xf>
    <xf numFmtId="15" fontId="4" fillId="5" borderId="73" applyNumberFormat="1" applyFont="1" applyFill="1" applyBorder="1" applyAlignment="1" applyProtection="0">
      <alignment horizontal="center" vertical="bottom"/>
    </xf>
    <xf numFmtId="10" fontId="4" borderId="76" applyNumberFormat="1" applyFont="1" applyFill="0" applyBorder="1" applyAlignment="1" applyProtection="0">
      <alignment horizontal="center" vertical="bottom"/>
    </xf>
    <xf numFmtId="4" fontId="4" borderId="73" applyNumberFormat="1" applyFont="1" applyFill="0" applyBorder="1" applyAlignment="1" applyProtection="0">
      <alignment horizontal="center" vertical="bottom"/>
    </xf>
    <xf numFmtId="67" fontId="21" borderId="1" applyNumberFormat="1" applyFont="1" applyFill="0" applyBorder="1" applyAlignment="1" applyProtection="0">
      <alignment horizontal="right" vertical="bottom"/>
    </xf>
    <xf numFmtId="10" fontId="4" fillId="4" borderId="76" applyNumberFormat="1" applyFont="1" applyFill="1" applyBorder="1" applyAlignment="1" applyProtection="0">
      <alignment horizontal="center" vertical="bottom"/>
    </xf>
    <xf numFmtId="3" fontId="4" borderId="76" applyNumberFormat="1" applyFont="1" applyFill="0" applyBorder="1" applyAlignment="1" applyProtection="0">
      <alignment horizontal="center" vertical="bottom"/>
    </xf>
    <xf numFmtId="15" fontId="4" fillId="5" borderId="76" applyNumberFormat="1" applyFont="1" applyFill="1" applyBorder="1" applyAlignment="1" applyProtection="0">
      <alignment horizontal="center" vertical="bottom"/>
    </xf>
    <xf numFmtId="4" fontId="4" borderId="76" applyNumberFormat="1" applyFont="1" applyFill="0" applyBorder="1" applyAlignment="1" applyProtection="0">
      <alignment horizontal="center" vertical="bottom"/>
    </xf>
    <xf numFmtId="10" fontId="4" fillId="4" borderId="78" applyNumberFormat="1" applyFont="1" applyFill="1" applyBorder="1" applyAlignment="1" applyProtection="0">
      <alignment horizontal="center" vertical="bottom"/>
    </xf>
    <xf numFmtId="3" fontId="4" borderId="78" applyNumberFormat="1" applyFont="1" applyFill="0" applyBorder="1" applyAlignment="1" applyProtection="0">
      <alignment horizontal="center" vertical="bottom"/>
    </xf>
    <xf numFmtId="15" fontId="4" fillId="5" borderId="91" applyNumberFormat="1" applyFont="1" applyFill="1" applyBorder="1" applyAlignment="1" applyProtection="0">
      <alignment horizontal="center" vertical="bottom"/>
    </xf>
    <xf numFmtId="10" fontId="4" fillId="5" borderId="91" applyNumberFormat="1" applyFont="1" applyFill="1" applyBorder="1" applyAlignment="1" applyProtection="0">
      <alignment horizontal="center" vertical="bottom"/>
    </xf>
    <xf numFmtId="0" fontId="4" borderId="91" applyNumberFormat="1" applyFont="1" applyFill="0" applyBorder="1" applyAlignment="1" applyProtection="0">
      <alignment horizontal="center" vertical="bottom"/>
    </xf>
    <xf numFmtId="4" fontId="4" borderId="78" applyNumberFormat="1" applyFont="1" applyFill="0" applyBorder="1" applyAlignment="1" applyProtection="0">
      <alignment horizontal="center" vertical="bottom"/>
    </xf>
    <xf numFmtId="72" fontId="4" borderId="91" applyNumberFormat="1" applyFont="1" applyFill="0" applyBorder="1" applyAlignment="1" applyProtection="0">
      <alignment horizontal="center" vertical="bottom"/>
    </xf>
    <xf numFmtId="10" fontId="6" borderId="44" applyNumberFormat="1" applyFont="1" applyFill="0" applyBorder="1" applyAlignment="1" applyProtection="0">
      <alignment horizontal="center" vertical="bottom"/>
    </xf>
    <xf numFmtId="1" fontId="6" borderId="96" applyNumberFormat="1" applyFont="1" applyFill="0" applyBorder="1" applyAlignment="1" applyProtection="0">
      <alignment horizontal="center" vertical="bottom"/>
    </xf>
    <xf numFmtId="1" fontId="6" borderId="23" applyNumberFormat="1" applyFont="1" applyFill="0" applyBorder="1" applyAlignment="1" applyProtection="0">
      <alignment horizontal="center" vertical="bottom"/>
    </xf>
    <xf numFmtId="10" fontId="6" borderId="15" applyNumberFormat="1" applyFont="1" applyFill="0" applyBorder="1" applyAlignment="1" applyProtection="0">
      <alignment horizontal="center" vertical="bottom"/>
    </xf>
    <xf numFmtId="4" fontId="6" borderId="44" applyNumberFormat="1" applyFont="1" applyFill="0" applyBorder="1" applyAlignment="1" applyProtection="0">
      <alignment horizontal="center" vertical="bottom"/>
    </xf>
    <xf numFmtId="67" fontId="13" borderId="1" applyNumberFormat="1" applyFont="1" applyFill="0" applyBorder="1" applyAlignment="1" applyProtection="0">
      <alignment horizontal="right" vertical="bottom"/>
    </xf>
    <xf numFmtId="59" fontId="21" borderId="1" applyNumberFormat="1" applyFont="1" applyFill="0" applyBorder="1" applyAlignment="1" applyProtection="0">
      <alignment horizontal="right" vertical="bottom"/>
    </xf>
    <xf numFmtId="59" fontId="24" borderId="1" applyNumberFormat="1" applyFont="1" applyFill="0" applyBorder="1" applyAlignment="1" applyProtection="0">
      <alignment vertical="bottom"/>
    </xf>
    <xf numFmtId="1" fontId="24" borderId="1" applyNumberFormat="1" applyFont="1" applyFill="0" applyBorder="1" applyAlignment="1" applyProtection="0">
      <alignment horizontal="right" vertical="bottom"/>
    </xf>
    <xf numFmtId="10" fontId="21" borderId="1" applyNumberFormat="1" applyFont="1" applyFill="0" applyBorder="1" applyAlignment="1" applyProtection="0">
      <alignment horizontal="right" vertical="bottom"/>
    </xf>
    <xf numFmtId="3" fontId="4" borderId="1" applyNumberFormat="1" applyFont="1" applyFill="0" applyBorder="1" applyAlignment="1" applyProtection="0">
      <alignment vertical="bottom"/>
    </xf>
    <xf numFmtId="3" fontId="4" borderId="1" applyNumberFormat="1" applyFont="1" applyFill="0" applyBorder="1" applyAlignment="1" applyProtection="0">
      <alignment horizontal="right" vertical="bottom"/>
    </xf>
    <xf numFmtId="78" fontId="4" borderId="1" applyNumberFormat="1" applyFont="1" applyFill="0" applyBorder="1" applyAlignment="1" applyProtection="0">
      <alignment vertical="bottom"/>
    </xf>
    <xf numFmtId="0" fontId="4" borderId="1" applyNumberFormat="1" applyFont="1" applyFill="0" applyBorder="1" applyAlignment="1" applyProtection="0">
      <alignment horizontal="right" vertical="bottom"/>
    </xf>
    <xf numFmtId="14" fontId="4" borderId="48" applyNumberFormat="1" applyFont="1" applyFill="0" applyBorder="1" applyAlignment="1" applyProtection="0">
      <alignment vertical="bottom"/>
    </xf>
    <xf numFmtId="0" fontId="4" applyNumberFormat="1" applyFont="1" applyFill="0" applyBorder="0" applyAlignment="1" applyProtection="0">
      <alignment vertical="bottom"/>
    </xf>
    <xf numFmtId="1" fontId="7" borderId="18" applyNumberFormat="1" applyFont="1" applyFill="0" applyBorder="1" applyAlignment="1" applyProtection="0">
      <alignment horizontal="right" vertical="bottom"/>
    </xf>
    <xf numFmtId="1" fontId="7" borderId="1" applyNumberFormat="1" applyFont="1" applyFill="0" applyBorder="1" applyAlignment="1" applyProtection="0">
      <alignment horizontal="center" vertical="bottom" wrapText="1"/>
    </xf>
    <xf numFmtId="2" fontId="4" fillId="5" borderId="76" applyNumberFormat="1" applyFont="1" applyFill="1" applyBorder="1" applyAlignment="1" applyProtection="0">
      <alignment horizontal="center" vertical="bottom"/>
    </xf>
    <xf numFmtId="2" fontId="4" fillId="5" borderId="78" applyNumberFormat="1" applyFont="1" applyFill="1" applyBorder="1" applyAlignment="1" applyProtection="0">
      <alignment horizontal="center" vertical="bottom"/>
    </xf>
    <xf numFmtId="0" fontId="6" borderId="92" applyNumberFormat="1" applyFont="1" applyFill="0" applyBorder="1" applyAlignment="1" applyProtection="0">
      <alignment horizontal="right" vertical="bottom"/>
    </xf>
    <xf numFmtId="1" fontId="4" borderId="92" applyNumberFormat="1" applyFont="1" applyFill="0" applyBorder="1" applyAlignment="1" applyProtection="0">
      <alignment vertical="bottom"/>
    </xf>
    <xf numFmtId="77" fontId="21" borderId="1" applyNumberFormat="1" applyFont="1" applyFill="0" applyBorder="1" applyAlignment="1" applyProtection="0">
      <alignment horizontal="right" vertical="bottom"/>
    </xf>
    <xf numFmtId="59" fontId="4" borderId="25" applyNumberFormat="1" applyFont="1" applyFill="0" applyBorder="1" applyAlignment="1" applyProtection="0">
      <alignment vertical="bottom"/>
    </xf>
    <xf numFmtId="0" fontId="53" borderId="1" applyNumberFormat="1" applyFont="1" applyFill="0" applyBorder="1" applyAlignment="1" applyProtection="0">
      <alignment horizontal="center" vertical="bottom"/>
    </xf>
    <xf numFmtId="59" fontId="55" borderId="22" applyNumberFormat="1" applyFont="1" applyFill="0" applyBorder="1" applyAlignment="1" applyProtection="0">
      <alignment vertical="bottom"/>
    </xf>
    <xf numFmtId="0" fontId="4" applyNumberFormat="1" applyFont="1" applyFill="0" applyBorder="0" applyAlignment="1" applyProtection="0">
      <alignment vertical="bottom"/>
    </xf>
    <xf numFmtId="0" fontId="6" borderId="8" applyNumberFormat="1" applyFont="1" applyFill="0" applyBorder="1" applyAlignment="1" applyProtection="0">
      <alignment horizontal="center" vertical="center" wrapText="1"/>
    </xf>
    <xf numFmtId="0" fontId="6" borderId="9" applyNumberFormat="1" applyFont="1" applyFill="0" applyBorder="1" applyAlignment="1" applyProtection="0">
      <alignment horizontal="center" vertical="center" wrapText="1"/>
    </xf>
    <xf numFmtId="0" fontId="6" borderId="6" applyNumberFormat="1" applyFont="1" applyFill="0" applyBorder="1" applyAlignment="1" applyProtection="0">
      <alignment horizontal="center" vertical="bottom"/>
    </xf>
    <xf numFmtId="65" fontId="21" borderId="25" applyNumberFormat="1" applyFont="1" applyFill="0" applyBorder="1" applyAlignment="1" applyProtection="0">
      <alignment horizontal="center" vertical="bottom"/>
    </xf>
    <xf numFmtId="0" fontId="6" borderId="13" applyNumberFormat="1" applyFont="1" applyFill="0" applyBorder="1" applyAlignment="1" applyProtection="0">
      <alignment horizontal="center" vertical="bottom"/>
    </xf>
    <xf numFmtId="1" fontId="6" borderId="14" applyNumberFormat="1" applyFont="1" applyFill="0" applyBorder="1" applyAlignment="1" applyProtection="0">
      <alignment horizontal="center" vertical="bottom"/>
    </xf>
    <xf numFmtId="4" fontId="4" borderId="1" applyNumberFormat="1" applyFont="1" applyFill="0" applyBorder="1" applyAlignment="1" applyProtection="0">
      <alignment vertical="bottom"/>
    </xf>
    <xf numFmtId="0" fontId="4" applyNumberFormat="1" applyFont="1" applyFill="0" applyBorder="0" applyAlignment="1" applyProtection="0">
      <alignment vertical="bottom"/>
    </xf>
    <xf numFmtId="1" fontId="43" borderId="2" applyNumberFormat="1" applyFont="1" applyFill="0" applyBorder="1" applyAlignment="1" applyProtection="0">
      <alignment vertical="bottom"/>
    </xf>
    <xf numFmtId="0" fontId="6" borderId="96" applyNumberFormat="1" applyFont="1" applyFill="0" applyBorder="1" applyAlignment="1" applyProtection="0">
      <alignment horizontal="left" vertical="bottom"/>
    </xf>
    <xf numFmtId="1" fontId="57" borderId="1" applyNumberFormat="1" applyFont="1" applyFill="0" applyBorder="1" applyAlignment="1" applyProtection="0">
      <alignment vertical="bottom"/>
    </xf>
    <xf numFmtId="1" fontId="57" borderId="1" applyNumberFormat="1" applyFont="1" applyFill="0" applyBorder="1" applyAlignment="1" applyProtection="0">
      <alignment horizontal="center" vertical="bottom"/>
    </xf>
    <xf numFmtId="0" fontId="4" applyNumberFormat="1" applyFont="1" applyFill="0" applyBorder="0" applyAlignment="1" applyProtection="0">
      <alignment vertical="bottom"/>
    </xf>
    <xf numFmtId="0" fontId="4" applyNumberFormat="1" applyFont="1" applyFill="0" applyBorder="0" applyAlignment="1" applyProtection="0">
      <alignment vertical="bottom"/>
    </xf>
    <xf numFmtId="0" fontId="6" borderId="17" applyNumberFormat="1" applyFont="1" applyFill="0" applyBorder="1" applyAlignment="1" applyProtection="0">
      <alignment horizontal="center" vertical="bottom"/>
    </xf>
    <xf numFmtId="1" fontId="6" borderId="18" applyNumberFormat="1" applyFont="1" applyFill="0" applyBorder="1" applyAlignment="1" applyProtection="0">
      <alignment horizontal="center" vertical="bottom"/>
    </xf>
    <xf numFmtId="0" fontId="4" borderId="41" applyNumberFormat="0" applyFont="1" applyFill="0" applyBorder="1" applyAlignment="1" applyProtection="0">
      <alignment vertical="bottom"/>
    </xf>
    <xf numFmtId="0" fontId="13" borderId="19" applyNumberFormat="1" applyFont="1" applyFill="0" applyBorder="1" applyAlignment="1" applyProtection="0">
      <alignment vertical="bottom"/>
    </xf>
    <xf numFmtId="59" fontId="13" borderId="19" applyNumberFormat="1" applyFont="1" applyFill="0" applyBorder="1" applyAlignment="1" applyProtection="0">
      <alignment vertical="bottom"/>
    </xf>
    <xf numFmtId="0" fontId="4" borderId="97" applyNumberFormat="0" applyFont="1" applyFill="0" applyBorder="1" applyAlignment="1" applyProtection="0">
      <alignment vertical="bottom"/>
    </xf>
    <xf numFmtId="1" fontId="4" borderId="20" applyNumberFormat="1" applyFont="1" applyFill="0" applyBorder="1" applyAlignment="1" applyProtection="0">
      <alignment horizontal="center" vertical="bottom"/>
    </xf>
    <xf numFmtId="1" fontId="4" borderId="21" applyNumberFormat="1" applyFont="1" applyFill="0" applyBorder="1" applyAlignment="1" applyProtection="0">
      <alignment horizontal="center" vertical="bottom"/>
    </xf>
    <xf numFmtId="1" fontId="4" borderId="22" applyNumberFormat="1" applyFont="1" applyFill="0" applyBorder="1" applyAlignment="1" applyProtection="0">
      <alignment horizontal="center" vertical="bottom"/>
    </xf>
    <xf numFmtId="0" fontId="4" borderId="10" applyNumberFormat="0" applyFont="1" applyFill="0" applyBorder="1" applyAlignment="1" applyProtection="0">
      <alignment vertical="bottom"/>
    </xf>
    <xf numFmtId="0" fontId="4" borderId="6" applyNumberFormat="0" applyFont="1" applyFill="0" applyBorder="1" applyAlignment="1" applyProtection="0">
      <alignment vertical="bottom"/>
    </xf>
    <xf numFmtId="1" fontId="4" borderId="8" applyNumberFormat="1" applyFont="1" applyFill="0" applyBorder="1" applyAlignment="1" applyProtection="0">
      <alignment vertical="bottom"/>
    </xf>
    <xf numFmtId="1" fontId="27" borderId="15" applyNumberFormat="1" applyFont="1" applyFill="0" applyBorder="1" applyAlignment="1" applyProtection="0">
      <alignment horizontal="center" vertical="bottom"/>
    </xf>
    <xf numFmtId="1" fontId="4" borderId="9" applyNumberFormat="1" applyFont="1" applyFill="0" applyBorder="1" applyAlignment="1" applyProtection="0">
      <alignment vertical="bottom"/>
    </xf>
    <xf numFmtId="0" fontId="13" borderId="6" applyNumberFormat="1" applyFont="1" applyFill="0" applyBorder="1" applyAlignment="1" applyProtection="0">
      <alignment vertical="center"/>
    </xf>
    <xf numFmtId="38" fontId="13" borderId="1" applyNumberFormat="1" applyFont="1" applyFill="0" applyBorder="1" applyAlignment="1" applyProtection="0">
      <alignment horizontal="center" vertical="center"/>
    </xf>
    <xf numFmtId="0" fontId="21" borderId="1" applyNumberFormat="1" applyFont="1" applyFill="0" applyBorder="1" applyAlignment="1" applyProtection="0">
      <alignment vertical="bottom" wrapText="1"/>
    </xf>
    <xf numFmtId="38" fontId="21" borderId="1" applyNumberFormat="1" applyFont="1" applyFill="0" applyBorder="1" applyAlignment="1" applyProtection="0">
      <alignment vertical="bottom" wrapText="1"/>
    </xf>
    <xf numFmtId="1" fontId="7" borderId="11" applyNumberFormat="1" applyFont="1" applyFill="0" applyBorder="1" applyAlignment="1" applyProtection="0">
      <alignment vertical="bottom" wrapText="1"/>
    </xf>
    <xf numFmtId="1" fontId="25" borderId="6" applyNumberFormat="1" applyFont="1" applyFill="0" applyBorder="1" applyAlignment="1" applyProtection="0">
      <alignment vertical="center"/>
    </xf>
    <xf numFmtId="0" fontId="21" borderId="1" applyNumberFormat="1" applyFont="1" applyFill="0" applyBorder="1" applyAlignment="1" applyProtection="0">
      <alignment vertical="center" wrapText="1"/>
    </xf>
    <xf numFmtId="38" fontId="21" borderId="1" applyNumberFormat="1" applyFont="1" applyFill="0" applyBorder="1" applyAlignment="1" applyProtection="0">
      <alignment vertical="center" wrapText="1"/>
    </xf>
    <xf numFmtId="1" fontId="4" borderId="1" applyNumberFormat="1" applyFont="1" applyFill="0" applyBorder="1" applyAlignment="1" applyProtection="0">
      <alignment vertical="center" wrapText="1"/>
    </xf>
    <xf numFmtId="1" fontId="4" borderId="11" applyNumberFormat="1" applyFont="1" applyFill="0" applyBorder="1" applyAlignment="1" applyProtection="0">
      <alignment vertical="center" wrapText="1"/>
    </xf>
    <xf numFmtId="2" fontId="13" borderId="1" applyNumberFormat="1" applyFont="1" applyFill="0" applyBorder="1" applyAlignment="1" applyProtection="0">
      <alignment horizontal="center" vertical="center"/>
    </xf>
    <xf numFmtId="1" fontId="59" borderId="6" applyNumberFormat="1" applyFont="1" applyFill="0" applyBorder="1" applyAlignment="1" applyProtection="0">
      <alignment vertical="center"/>
    </xf>
    <xf numFmtId="1" fontId="60" borderId="6" applyNumberFormat="1" applyFont="1" applyFill="0" applyBorder="1" applyAlignment="1" applyProtection="0">
      <alignment vertical="center"/>
    </xf>
    <xf numFmtId="38" fontId="21" borderId="1" applyNumberFormat="1" applyFont="1" applyFill="0" applyBorder="1" applyAlignment="1" applyProtection="0">
      <alignment vertical="bottom"/>
    </xf>
    <xf numFmtId="1" fontId="13" borderId="6" applyNumberFormat="1" applyFont="1" applyFill="0" applyBorder="1" applyAlignment="1" applyProtection="0">
      <alignment vertical="center"/>
    </xf>
    <xf numFmtId="0" fontId="21" borderId="2" applyNumberFormat="1" applyFont="1" applyFill="0" applyBorder="1" applyAlignment="1" applyProtection="0">
      <alignment vertical="bottom"/>
    </xf>
    <xf numFmtId="38" fontId="21" borderId="1" applyNumberFormat="1" applyFont="1" applyFill="0" applyBorder="1" applyAlignment="1" applyProtection="0">
      <alignment vertical="center"/>
    </xf>
    <xf numFmtId="38" fontId="21" borderId="15" applyNumberFormat="1" applyFont="1" applyFill="0" applyBorder="1" applyAlignment="1" applyProtection="0">
      <alignment vertical="bottom"/>
    </xf>
    <xf numFmtId="1" fontId="11" borderId="6" applyNumberFormat="1" applyFont="1" applyFill="0" applyBorder="1" applyAlignment="1" applyProtection="0">
      <alignment vertical="center"/>
    </xf>
    <xf numFmtId="1" fontId="11" borderId="1" applyNumberFormat="1" applyFont="1" applyFill="0" applyBorder="1" applyAlignment="1" applyProtection="0">
      <alignment vertical="bottom"/>
    </xf>
    <xf numFmtId="1" fontId="11" borderId="1" applyNumberFormat="1" applyFont="1" applyFill="0" applyBorder="1" applyAlignment="1" applyProtection="0">
      <alignment horizontal="right" vertical="bottom"/>
    </xf>
    <xf numFmtId="0" fontId="11" borderId="6" applyNumberFormat="1" applyFont="1" applyFill="0" applyBorder="1" applyAlignment="1" applyProtection="0">
      <alignment vertical="center"/>
    </xf>
    <xf numFmtId="9" fontId="11" borderId="1" applyNumberFormat="1" applyFont="1" applyFill="0" applyBorder="1" applyAlignment="1" applyProtection="0">
      <alignment vertical="bottom"/>
    </xf>
    <xf numFmtId="0" fontId="11" borderId="6" applyNumberFormat="1" applyFont="1" applyFill="0" applyBorder="1" applyAlignment="1" applyProtection="0">
      <alignment vertical="bottom"/>
    </xf>
    <xf numFmtId="38" fontId="61" fillId="5" borderId="1" applyNumberFormat="1" applyFont="1" applyFill="1" applyBorder="1" applyAlignment="1" applyProtection="0">
      <alignment vertical="bottom"/>
    </xf>
    <xf numFmtId="1" fontId="11" borderId="13" applyNumberFormat="1" applyFont="1" applyFill="0" applyBorder="1" applyAlignment="1" applyProtection="0">
      <alignment vertical="bottom"/>
    </xf>
    <xf numFmtId="1" fontId="11" borderId="2" applyNumberFormat="1" applyFont="1" applyFill="0" applyBorder="1" applyAlignment="1" applyProtection="0">
      <alignment vertical="bottom"/>
    </xf>
    <xf numFmtId="9" fontId="11" borderId="2" applyNumberFormat="1" applyFont="1" applyFill="0" applyBorder="1" applyAlignment="1" applyProtection="0">
      <alignment vertical="bottom"/>
    </xf>
    <xf numFmtId="1" fontId="4" borderId="14" applyNumberFormat="1" applyFont="1" applyFill="0" applyBorder="1" applyAlignment="1" applyProtection="0">
      <alignment vertical="bottom"/>
    </xf>
    <xf numFmtId="1" fontId="4" borderId="13" applyNumberFormat="1" applyFont="1" applyFill="0" applyBorder="1" applyAlignment="1" applyProtection="0">
      <alignment vertical="bottom"/>
    </xf>
    <xf numFmtId="10" fontId="4" borderId="2" applyNumberFormat="1" applyFont="1" applyFill="0" applyBorder="1" applyAlignment="1" applyProtection="0">
      <alignment vertical="bottom"/>
    </xf>
    <xf numFmtId="1" fontId="7" borderId="98" applyNumberFormat="1" applyFont="1" applyFill="0" applyBorder="1" applyAlignment="1" applyProtection="0">
      <alignment vertical="bottom"/>
    </xf>
    <xf numFmtId="1" fontId="7" borderId="15" applyNumberFormat="1" applyFont="1" applyFill="0" applyBorder="1" applyAlignment="1" applyProtection="0">
      <alignment vertical="bottom"/>
    </xf>
    <xf numFmtId="1" fontId="7" borderId="15" applyNumberFormat="1" applyFont="1" applyFill="0" applyBorder="1" applyAlignment="1" applyProtection="0">
      <alignment horizontal="center" vertical="bottom"/>
    </xf>
    <xf numFmtId="0" fontId="4" borderId="15" applyNumberFormat="0" applyFont="1" applyFill="0" applyBorder="1" applyAlignment="1" applyProtection="0">
      <alignment vertical="bottom"/>
    </xf>
    <xf numFmtId="0" fontId="4" applyNumberFormat="1" applyFont="1" applyFill="0" applyBorder="0" applyAlignment="1" applyProtection="0">
      <alignment vertical="bottom"/>
    </xf>
    <xf numFmtId="1" fontId="7" fillId="4" borderId="93" applyNumberFormat="1" applyFont="1" applyFill="1" applyBorder="1" applyAlignment="1" applyProtection="0">
      <alignment vertical="bottom"/>
    </xf>
    <xf numFmtId="1" fontId="9" fillId="4" borderId="18" applyNumberFormat="1" applyFont="1" applyFill="1" applyBorder="1" applyAlignment="1" applyProtection="0">
      <alignment vertical="bottom"/>
    </xf>
    <xf numFmtId="0" fontId="13" fillId="4" borderId="1" applyNumberFormat="1" applyFont="1" applyFill="1" applyBorder="1" applyAlignment="1" applyProtection="0">
      <alignment vertical="bottom"/>
    </xf>
    <xf numFmtId="59" fontId="46" fillId="4" borderId="1" applyNumberFormat="1" applyFont="1" applyFill="1" applyBorder="1" applyAlignment="1" applyProtection="0">
      <alignment horizontal="center" vertical="bottom"/>
    </xf>
    <xf numFmtId="0" fontId="49" fillId="4" borderId="25" applyNumberFormat="1" applyFont="1" applyFill="1" applyBorder="1" applyAlignment="1" applyProtection="0">
      <alignment horizontal="center" vertical="bottom"/>
    </xf>
    <xf numFmtId="1" fontId="4" fillId="4" borderId="55" applyNumberFormat="1" applyFont="1" applyFill="1" applyBorder="1" applyAlignment="1" applyProtection="0">
      <alignment vertical="bottom"/>
    </xf>
    <xf numFmtId="59" fontId="21" fillId="4" borderId="2" applyNumberFormat="1" applyFont="1" applyFill="1" applyBorder="1" applyAlignment="1" applyProtection="0">
      <alignment vertical="bottom"/>
    </xf>
    <xf numFmtId="59" fontId="6" fillId="4" borderId="8" applyNumberFormat="1" applyFont="1" applyFill="1" applyBorder="1" applyAlignment="1" applyProtection="0">
      <alignment horizontal="center" vertical="bottom"/>
    </xf>
    <xf numFmtId="0" fontId="6" fillId="4" borderId="7" applyNumberFormat="1" applyFont="1" applyFill="1" applyBorder="1" applyAlignment="1" applyProtection="0">
      <alignment horizontal="center" vertical="bottom"/>
    </xf>
    <xf numFmtId="59" fontId="6" fillId="4" borderId="13" applyNumberFormat="1" applyFont="1" applyFill="1" applyBorder="1" applyAlignment="1" applyProtection="0">
      <alignment horizontal="center" vertical="bottom"/>
    </xf>
    <xf numFmtId="59" fontId="21" fillId="4" borderId="14" applyNumberFormat="1" applyFont="1" applyFill="1" applyBorder="1" applyAlignment="1" applyProtection="0">
      <alignment vertical="bottom"/>
    </xf>
    <xf numFmtId="0" fontId="6" fillId="14" borderId="20" applyNumberFormat="1" applyFont="1" applyFill="1" applyBorder="1" applyAlignment="1" applyProtection="0">
      <alignment horizontal="left" vertical="bottom"/>
    </xf>
    <xf numFmtId="59" fontId="21" fillId="14" borderId="22" applyNumberFormat="1" applyFont="1" applyFill="1" applyBorder="1" applyAlignment="1" applyProtection="0">
      <alignment vertical="bottom"/>
    </xf>
    <xf numFmtId="59" fontId="6" fillId="14" borderId="3" applyNumberFormat="1" applyFont="1" applyFill="1" applyBorder="1" applyAlignment="1" applyProtection="0">
      <alignment horizontal="center" vertical="bottom"/>
    </xf>
    <xf numFmtId="0" fontId="6" fillId="14" borderId="20" applyNumberFormat="1" applyFont="1" applyFill="1" applyBorder="1" applyAlignment="1" applyProtection="0">
      <alignment vertical="bottom"/>
    </xf>
    <xf numFmtId="0" fontId="6" fillId="14" borderId="3" applyNumberFormat="1" applyFont="1" applyFill="1" applyBorder="1" applyAlignment="1" applyProtection="0">
      <alignment horizontal="center" vertical="bottom"/>
    </xf>
    <xf numFmtId="0" fontId="6" fillId="14" borderId="99" applyNumberFormat="1" applyFont="1" applyFill="1" applyBorder="1" applyAlignment="1" applyProtection="0">
      <alignment vertical="bottom"/>
    </xf>
    <xf numFmtId="59" fontId="21" fillId="14" borderId="100" applyNumberFormat="1" applyFont="1" applyFill="1" applyBorder="1" applyAlignment="1" applyProtection="0">
      <alignment vertical="bottom"/>
    </xf>
    <xf numFmtId="59" fontId="6" fillId="14" borderId="42" applyNumberFormat="1" applyFont="1" applyFill="1" applyBorder="1" applyAlignment="1" applyProtection="0">
      <alignment horizontal="center" vertical="bottom"/>
    </xf>
    <xf numFmtId="0" fontId="43" fillId="14" borderId="101" applyNumberFormat="1" applyFont="1" applyFill="1" applyBorder="1" applyAlignment="1" applyProtection="0">
      <alignment horizontal="center" vertical="bottom"/>
    </xf>
    <xf numFmtId="59" fontId="43" fillId="14" borderId="102" applyNumberFormat="1" applyFont="1" applyFill="1" applyBorder="1" applyAlignment="1" applyProtection="0">
      <alignment vertical="bottom"/>
    </xf>
    <xf numFmtId="59" fontId="43" fillId="14" borderId="47" applyNumberFormat="1" applyFont="1" applyFill="1" applyBorder="1" applyAlignment="1" applyProtection="0">
      <alignment horizontal="center" vertical="bottom"/>
    </xf>
    <xf numFmtId="59" fontId="43" fillId="14" borderId="103" applyNumberFormat="1" applyFont="1" applyFill="1" applyBorder="1" applyAlignment="1" applyProtection="0">
      <alignment horizontal="center" vertical="bottom"/>
    </xf>
    <xf numFmtId="59" fontId="21" fillId="4" borderId="39" applyNumberFormat="1" applyFont="1" applyFill="1" applyBorder="1" applyAlignment="1" applyProtection="0">
      <alignment vertical="bottom"/>
    </xf>
    <xf numFmtId="59" fontId="46" fillId="4" borderId="40" applyNumberFormat="1" applyFont="1" applyFill="1" applyBorder="1" applyAlignment="1" applyProtection="0">
      <alignment horizontal="center" vertical="bottom"/>
    </xf>
    <xf numFmtId="1" fontId="4" fillId="4" borderId="40" applyNumberFormat="1" applyFont="1" applyFill="1" applyBorder="1" applyAlignment="1" applyProtection="0">
      <alignment vertical="bottom"/>
    </xf>
    <xf numFmtId="59" fontId="21" fillId="4" borderId="40" applyNumberFormat="1" applyFont="1" applyFill="1" applyBorder="1" applyAlignment="1" applyProtection="0">
      <alignment vertical="bottom"/>
    </xf>
    <xf numFmtId="59" fontId="43" fillId="4" borderId="1" applyNumberFormat="1" applyFont="1" applyFill="1" applyBorder="1" applyAlignment="1" applyProtection="0">
      <alignment vertical="bottom"/>
    </xf>
    <xf numFmtId="59" fontId="47" fillId="4" borderId="1" applyNumberFormat="1" applyFont="1" applyFill="1" applyBorder="1" applyAlignment="1" applyProtection="0">
      <alignment horizontal="center" vertical="bottom"/>
    </xf>
    <xf numFmtId="0" fontId="21" fillId="4" borderId="7" applyNumberFormat="1" applyFont="1" applyFill="1" applyBorder="1" applyAlignment="1" applyProtection="0">
      <alignment horizontal="center" vertical="bottom"/>
    </xf>
    <xf numFmtId="0" fontId="21" fillId="4" borderId="8" applyNumberFormat="1" applyFont="1" applyFill="1" applyBorder="1" applyAlignment="1" applyProtection="0">
      <alignment horizontal="center" vertical="bottom"/>
    </xf>
    <xf numFmtId="0" fontId="49" fillId="4" borderId="1" applyNumberFormat="1" applyFont="1" applyFill="1" applyBorder="1" applyAlignment="1" applyProtection="0">
      <alignment vertical="bottom"/>
    </xf>
    <xf numFmtId="59" fontId="21" fillId="4" borderId="10" applyNumberFormat="1" applyFont="1" applyFill="1" applyBorder="1" applyAlignment="1" applyProtection="0">
      <alignment vertical="bottom"/>
    </xf>
    <xf numFmtId="0" fontId="21" fillId="4" borderId="10" applyNumberFormat="1" applyFont="1" applyFill="1" applyBorder="1" applyAlignment="1" applyProtection="0">
      <alignment horizontal="center" vertical="bottom"/>
    </xf>
    <xf numFmtId="59" fontId="21" fillId="4" borderId="6" applyNumberFormat="1" applyFont="1" applyFill="1" applyBorder="1" applyAlignment="1" applyProtection="0">
      <alignment horizontal="center" vertical="bottom"/>
    </xf>
    <xf numFmtId="59" fontId="21" fillId="4" borderId="12" applyNumberFormat="1" applyFont="1" applyFill="1" applyBorder="1" applyAlignment="1" applyProtection="0">
      <alignment vertical="bottom"/>
    </xf>
    <xf numFmtId="0" fontId="55" fillId="4" borderId="1" applyNumberFormat="1" applyFont="1" applyFill="1" applyBorder="1" applyAlignment="1" applyProtection="0">
      <alignment vertical="bottom"/>
    </xf>
    <xf numFmtId="64" fontId="55" fillId="14" borderId="7" applyNumberFormat="1" applyFont="1" applyFill="1" applyBorder="1" applyAlignment="1" applyProtection="0">
      <alignment vertical="bottom"/>
    </xf>
    <xf numFmtId="79" fontId="21" fillId="14" borderId="7" applyNumberFormat="1" applyFont="1" applyFill="1" applyBorder="1" applyAlignment="1" applyProtection="0">
      <alignment horizontal="right" vertical="bottom"/>
    </xf>
    <xf numFmtId="64" fontId="55" fillId="14" borderId="10" applyNumberFormat="1" applyFont="1" applyFill="1" applyBorder="1" applyAlignment="1" applyProtection="0">
      <alignment vertical="bottom"/>
    </xf>
    <xf numFmtId="79" fontId="21" fillId="14" borderId="10" applyNumberFormat="1" applyFont="1" applyFill="1" applyBorder="1" applyAlignment="1" applyProtection="0">
      <alignment horizontal="right" vertical="bottom"/>
    </xf>
    <xf numFmtId="2" fontId="21" fillId="4" borderId="6" applyNumberFormat="1" applyFont="1" applyFill="1" applyBorder="1" applyAlignment="1" applyProtection="0">
      <alignment horizontal="right" vertical="bottom"/>
    </xf>
    <xf numFmtId="64" fontId="55" fillId="14" borderId="12" applyNumberFormat="1" applyFont="1" applyFill="1" applyBorder="1" applyAlignment="1" applyProtection="0">
      <alignment vertical="bottom"/>
    </xf>
    <xf numFmtId="79" fontId="21" fillId="14" borderId="12" applyNumberFormat="1" applyFont="1" applyFill="1" applyBorder="1" applyAlignment="1" applyProtection="0">
      <alignment horizontal="right" vertical="bottom"/>
    </xf>
    <xf numFmtId="64" fontId="55" fillId="4" borderId="21" applyNumberFormat="1" applyFont="1" applyFill="1" applyBorder="1" applyAlignment="1" applyProtection="0">
      <alignment vertical="bottom"/>
    </xf>
    <xf numFmtId="79" fontId="21" fillId="4" borderId="21" applyNumberFormat="1" applyFont="1" applyFill="1" applyBorder="1" applyAlignment="1" applyProtection="0">
      <alignment horizontal="right" vertical="bottom"/>
    </xf>
    <xf numFmtId="2" fontId="21" fillId="4" borderId="1" applyNumberFormat="1" applyFont="1" applyFill="1" applyBorder="1" applyAlignment="1" applyProtection="0">
      <alignment horizontal="right" vertical="bottom"/>
    </xf>
    <xf numFmtId="64" fontId="55" fillId="14" borderId="3" applyNumberFormat="1" applyFont="1" applyFill="1" applyBorder="1" applyAlignment="1" applyProtection="0">
      <alignment vertical="bottom"/>
    </xf>
    <xf numFmtId="79" fontId="21" fillId="14" borderId="3" applyNumberFormat="1" applyFont="1" applyFill="1" applyBorder="1" applyAlignment="1" applyProtection="0">
      <alignment horizontal="right" vertical="bottom"/>
    </xf>
    <xf numFmtId="10" fontId="55" fillId="4" borderId="1" applyNumberFormat="1" applyFont="1" applyFill="1" applyBorder="1" applyAlignment="1" applyProtection="0">
      <alignment vertical="bottom"/>
    </xf>
    <xf numFmtId="0" fontId="27" fillId="4" borderId="11" applyNumberFormat="1" applyFont="1" applyFill="1" applyBorder="1" applyAlignment="1" applyProtection="0">
      <alignment vertical="bottom"/>
    </xf>
    <xf numFmtId="61" fontId="55" fillId="4" borderId="1" applyNumberFormat="1" applyFont="1" applyFill="1" applyBorder="1" applyAlignment="1" applyProtection="0">
      <alignment vertical="bottom"/>
    </xf>
    <xf numFmtId="59" fontId="55" fillId="4" borderId="1" applyNumberFormat="1" applyFont="1" applyFill="1" applyBorder="1" applyAlignment="1" applyProtection="0">
      <alignment horizontal="right" vertical="bottom"/>
    </xf>
    <xf numFmtId="59" fontId="13" fillId="4" borderId="25" applyNumberFormat="1" applyFont="1" applyFill="1" applyBorder="1" applyAlignment="1" applyProtection="0">
      <alignment horizontal="center" vertical="bottom"/>
    </xf>
    <xf numFmtId="59" fontId="13" fillId="4" borderId="19" applyNumberFormat="1" applyFont="1" applyFill="1" applyBorder="1" applyAlignment="1" applyProtection="0">
      <alignment horizontal="center" vertical="bottom"/>
    </xf>
    <xf numFmtId="64" fontId="6" fillId="14" borderId="3" applyNumberFormat="1" applyFont="1" applyFill="1" applyBorder="1" applyAlignment="1" applyProtection="0">
      <alignment vertical="bottom"/>
    </xf>
    <xf numFmtId="10" fontId="21" fillId="4" borderId="1" applyNumberFormat="1" applyFont="1" applyFill="1" applyBorder="1" applyAlignment="1" applyProtection="0">
      <alignment vertical="bottom"/>
    </xf>
    <xf numFmtId="9" fontId="55" fillId="4" borderId="1" applyNumberFormat="1" applyFont="1" applyFill="1" applyBorder="1" applyAlignment="1" applyProtection="0">
      <alignment vertical="bottom"/>
    </xf>
    <xf numFmtId="64" fontId="55" fillId="4" borderId="104" applyNumberFormat="1" applyFont="1" applyFill="1" applyBorder="1" applyAlignment="1" applyProtection="0">
      <alignment vertical="bottom"/>
    </xf>
    <xf numFmtId="79" fontId="21" fillId="4" borderId="104" applyNumberFormat="1" applyFont="1" applyFill="1" applyBorder="1" applyAlignment="1" applyProtection="0">
      <alignment horizontal="right" vertical="bottom"/>
    </xf>
    <xf numFmtId="10" fontId="43" fillId="4" borderId="1" applyNumberFormat="1" applyFont="1" applyFill="1" applyBorder="1" applyAlignment="1" applyProtection="0">
      <alignment vertical="bottom"/>
    </xf>
    <xf numFmtId="59" fontId="43" fillId="4" borderId="24" applyNumberFormat="1" applyFont="1" applyFill="1" applyBorder="1" applyAlignment="1" applyProtection="0">
      <alignment vertical="bottom"/>
    </xf>
    <xf numFmtId="64" fontId="43" fillId="14" borderId="44" applyNumberFormat="1" applyFont="1" applyFill="1" applyBorder="1" applyAlignment="1" applyProtection="0">
      <alignment vertical="bottom"/>
    </xf>
    <xf numFmtId="79" fontId="43" fillId="14" borderId="44" applyNumberFormat="1" applyFont="1" applyFill="1" applyBorder="1" applyAlignment="1" applyProtection="0">
      <alignment horizontal="right" vertical="bottom"/>
    </xf>
    <xf numFmtId="2" fontId="21" fillId="4" borderId="39" applyNumberFormat="1" applyFont="1" applyFill="1" applyBorder="1" applyAlignment="1" applyProtection="0">
      <alignment horizontal="right" vertical="bottom"/>
    </xf>
    <xf numFmtId="9" fontId="21" fillId="4" borderId="1" applyNumberFormat="1" applyFont="1" applyFill="1" applyBorder="1" applyAlignment="1" applyProtection="0">
      <alignment horizontal="right" vertical="top"/>
    </xf>
    <xf numFmtId="59" fontId="4" fillId="4" borderId="1" applyNumberFormat="1" applyFont="1" applyFill="1" applyBorder="1" applyAlignment="1" applyProtection="0">
      <alignment horizontal="left" vertical="top"/>
    </xf>
    <xf numFmtId="64" fontId="6" fillId="4" borderId="40" applyNumberFormat="1" applyFont="1" applyFill="1" applyBorder="1" applyAlignment="1" applyProtection="0">
      <alignment vertical="bottom"/>
    </xf>
    <xf numFmtId="2" fontId="21" fillId="4" borderId="40" applyNumberFormat="1" applyFont="1" applyFill="1" applyBorder="1" applyAlignment="1" applyProtection="0">
      <alignment horizontal="right" vertical="bottom"/>
    </xf>
    <xf numFmtId="2" fontId="43" fillId="4" borderId="1" applyNumberFormat="1" applyFont="1" applyFill="1" applyBorder="1" applyAlignment="1" applyProtection="0">
      <alignment horizontal="right" vertical="bottom"/>
    </xf>
    <xf numFmtId="64" fontId="6" fillId="4" borderId="2" applyNumberFormat="1" applyFont="1" applyFill="1" applyBorder="1" applyAlignment="1" applyProtection="0">
      <alignment vertical="bottom"/>
    </xf>
    <xf numFmtId="2" fontId="21" fillId="4" borderId="2" applyNumberFormat="1" applyFont="1" applyFill="1" applyBorder="1" applyAlignment="1" applyProtection="0">
      <alignment horizontal="right" vertical="bottom"/>
    </xf>
    <xf numFmtId="64" fontId="6" fillId="4" borderId="7" applyNumberFormat="1" applyFont="1" applyFill="1" applyBorder="1" applyAlignment="1" applyProtection="0">
      <alignment vertical="bottom"/>
    </xf>
    <xf numFmtId="2" fontId="21" fillId="4" borderId="7" applyNumberFormat="1" applyFont="1" applyFill="1" applyBorder="1" applyAlignment="1" applyProtection="0">
      <alignment horizontal="right" vertical="bottom"/>
    </xf>
    <xf numFmtId="59" fontId="49" fillId="4" borderId="1" applyNumberFormat="1" applyFont="1" applyFill="1" applyBorder="1" applyAlignment="1" applyProtection="0">
      <alignment vertical="bottom"/>
    </xf>
    <xf numFmtId="0" fontId="55" fillId="4" borderId="10" applyNumberFormat="1" applyFont="1" applyFill="1" applyBorder="1" applyAlignment="1" applyProtection="0">
      <alignment horizontal="center" vertical="bottom"/>
    </xf>
    <xf numFmtId="64" fontId="6" fillId="4" borderId="12" applyNumberFormat="1" applyFont="1" applyFill="1" applyBorder="1" applyAlignment="1" applyProtection="0">
      <alignment vertical="bottom"/>
    </xf>
    <xf numFmtId="2" fontId="21" fillId="4" borderId="12" applyNumberFormat="1" applyFont="1" applyFill="1" applyBorder="1" applyAlignment="1" applyProtection="0">
      <alignment horizontal="right" vertical="bottom"/>
    </xf>
    <xf numFmtId="64" fontId="6" fillId="14" borderId="7" applyNumberFormat="1" applyFont="1" applyFill="1" applyBorder="1" applyAlignment="1" applyProtection="0">
      <alignment vertical="bottom"/>
    </xf>
    <xf numFmtId="64" fontId="6" fillId="14" borderId="10" applyNumberFormat="1" applyFont="1" applyFill="1" applyBorder="1" applyAlignment="1" applyProtection="0">
      <alignment vertical="bottom"/>
    </xf>
    <xf numFmtId="64" fontId="6" fillId="14" borderId="12" applyNumberFormat="1" applyFont="1" applyFill="1" applyBorder="1" applyAlignment="1" applyProtection="0">
      <alignment vertical="bottom"/>
    </xf>
    <xf numFmtId="64" fontId="6" fillId="4" borderId="104" applyNumberFormat="1" applyFont="1" applyFill="1" applyBorder="1" applyAlignment="1" applyProtection="0">
      <alignment vertical="bottom"/>
    </xf>
    <xf numFmtId="79" fontId="21" fillId="4" borderId="15" applyNumberFormat="1" applyFont="1" applyFill="1" applyBorder="1" applyAlignment="1" applyProtection="0">
      <alignment horizontal="right" vertical="bottom"/>
    </xf>
    <xf numFmtId="0" fontId="20" fillId="4" borderId="1" applyNumberFormat="1" applyFont="1" applyFill="1" applyBorder="1" applyAlignment="1" applyProtection="0">
      <alignment vertical="bottom"/>
    </xf>
    <xf numFmtId="59" fontId="20" fillId="4" borderId="1" applyNumberFormat="1" applyFont="1" applyFill="1" applyBorder="1" applyAlignment="1" applyProtection="0">
      <alignment vertical="bottom"/>
    </xf>
    <xf numFmtId="59" fontId="20" fillId="4" borderId="24" applyNumberFormat="1" applyFont="1" applyFill="1" applyBorder="1" applyAlignment="1" applyProtection="0">
      <alignment vertical="bottom"/>
    </xf>
    <xf numFmtId="64" fontId="20" fillId="14" borderId="44" applyNumberFormat="1" applyFont="1" applyFill="1" applyBorder="1" applyAlignment="1" applyProtection="0">
      <alignment vertical="bottom"/>
    </xf>
    <xf numFmtId="79" fontId="20" fillId="4" borderId="39" applyNumberFormat="1" applyFont="1" applyFill="1" applyBorder="1" applyAlignment="1" applyProtection="0">
      <alignment horizontal="right" vertical="bottom"/>
    </xf>
    <xf numFmtId="64" fontId="6" fillId="4" borderId="105" applyNumberFormat="1" applyFont="1" applyFill="1" applyBorder="1" applyAlignment="1" applyProtection="0">
      <alignment vertical="bottom"/>
    </xf>
    <xf numFmtId="79" fontId="21" fillId="4" borderId="2" applyNumberFormat="1" applyFont="1" applyFill="1" applyBorder="1" applyAlignment="1" applyProtection="0">
      <alignment horizontal="right" vertical="bottom"/>
    </xf>
    <xf numFmtId="2" fontId="20" fillId="4" borderId="1" applyNumberFormat="1" applyFont="1" applyFill="1" applyBorder="1" applyAlignment="1" applyProtection="0">
      <alignment horizontal="right" vertical="bottom"/>
    </xf>
    <xf numFmtId="79" fontId="21" fillId="4" borderId="7" applyNumberFormat="1" applyFont="1" applyFill="1" applyBorder="1" applyAlignment="1" applyProtection="0">
      <alignment horizontal="right" vertical="bottom"/>
    </xf>
    <xf numFmtId="79" fontId="21" fillId="4" borderId="12" applyNumberFormat="1" applyFont="1" applyFill="1" applyBorder="1" applyAlignment="1" applyProtection="0">
      <alignment horizontal="right" vertical="bottom"/>
    </xf>
    <xf numFmtId="79" fontId="21" fillId="4" borderId="1" applyNumberFormat="1" applyFont="1" applyFill="1" applyBorder="1" applyAlignment="1" applyProtection="0">
      <alignment horizontal="right" vertical="bottom"/>
    </xf>
    <xf numFmtId="64" fontId="6" fillId="4" borderId="106" applyNumberFormat="1" applyFont="1" applyFill="1" applyBorder="1" applyAlignment="1" applyProtection="0">
      <alignment vertical="bottom"/>
    </xf>
    <xf numFmtId="79" fontId="21" fillId="4" borderId="106" applyNumberFormat="1" applyFont="1" applyFill="1" applyBorder="1" applyAlignment="1" applyProtection="0">
      <alignment horizontal="right" vertical="bottom"/>
    </xf>
    <xf numFmtId="64" fontId="20" fillId="15" borderId="44" applyNumberFormat="1" applyFont="1" applyFill="1" applyBorder="1" applyAlignment="1" applyProtection="0">
      <alignment vertical="bottom"/>
    </xf>
    <xf numFmtId="79" fontId="20" fillId="15" borderId="44" applyNumberFormat="1" applyFont="1" applyFill="1" applyBorder="1" applyAlignment="1" applyProtection="0">
      <alignment horizontal="right" vertical="bottom"/>
    </xf>
    <xf numFmtId="64" fontId="6" fillId="4" borderId="1" applyNumberFormat="1" applyFont="1" applyFill="1" applyBorder="1" applyAlignment="1" applyProtection="0">
      <alignment vertical="bottom"/>
    </xf>
    <xf numFmtId="1" fontId="26" fillId="4" borderId="1" applyNumberFormat="1" applyFont="1" applyFill="1" applyBorder="1" applyAlignment="1" applyProtection="0">
      <alignment vertical="bottom"/>
    </xf>
    <xf numFmtId="60" fontId="21" fillId="4" borderId="1" applyNumberFormat="1" applyFont="1" applyFill="1" applyBorder="1" applyAlignment="1" applyProtection="0">
      <alignment vertical="bottom"/>
    </xf>
    <xf numFmtId="0" fontId="4" applyNumberFormat="1" applyFont="1" applyFill="0" applyBorder="0" applyAlignment="1" applyProtection="0">
      <alignment vertical="bottom"/>
    </xf>
    <xf numFmtId="0" fontId="11" fillId="4" applyNumberFormat="1" applyFont="1" applyFill="1" applyBorder="0" applyAlignment="1" applyProtection="0">
      <alignment vertical="bottom"/>
    </xf>
    <xf numFmtId="0" fontId="21" fillId="4" borderId="16" applyNumberFormat="1" applyFont="1" applyFill="1" applyBorder="1" applyAlignment="1" applyProtection="0">
      <alignment vertical="bottom"/>
    </xf>
    <xf numFmtId="0" fontId="6" fillId="4" borderId="17" applyNumberFormat="1" applyFont="1" applyFill="1" applyBorder="1" applyAlignment="1" applyProtection="0">
      <alignment vertical="bottom"/>
    </xf>
    <xf numFmtId="59" fontId="6" fillId="4" borderId="18" applyNumberFormat="1" applyFont="1" applyFill="1" applyBorder="1" applyAlignment="1" applyProtection="0">
      <alignment vertical="bottom"/>
    </xf>
    <xf numFmtId="0" fontId="6" fillId="4" borderId="18" applyNumberFormat="1" applyFont="1" applyFill="1" applyBorder="1" applyAlignment="1" applyProtection="0">
      <alignment vertical="bottom"/>
    </xf>
    <xf numFmtId="59" fontId="55" fillId="4" borderId="18" applyNumberFormat="1" applyFont="1" applyFill="1" applyBorder="1" applyAlignment="1" applyProtection="0">
      <alignment vertical="bottom"/>
    </xf>
    <xf numFmtId="59" fontId="11" fillId="4" borderId="18" applyNumberFormat="1" applyFont="1" applyFill="1" applyBorder="1" applyAlignment="1" applyProtection="0">
      <alignment vertical="bottom"/>
    </xf>
    <xf numFmtId="59" fontId="11" fillId="4" borderId="41" applyNumberFormat="1" applyFont="1" applyFill="1" applyBorder="1" applyAlignment="1" applyProtection="0">
      <alignment vertical="bottom"/>
    </xf>
    <xf numFmtId="59" fontId="6" fillId="4" borderId="19" applyNumberFormat="1" applyFont="1" applyFill="1" applyBorder="1" applyAlignment="1" applyProtection="0">
      <alignment vertical="bottom"/>
    </xf>
    <xf numFmtId="59" fontId="11" fillId="4" borderId="1" applyNumberFormat="1" applyFont="1" applyFill="1" applyBorder="1" applyAlignment="1" applyProtection="0">
      <alignment vertical="bottom"/>
    </xf>
    <xf numFmtId="59" fontId="11" fillId="4" borderId="25" applyNumberFormat="1" applyFont="1" applyFill="1" applyBorder="1" applyAlignment="1" applyProtection="0">
      <alignment vertical="bottom"/>
    </xf>
    <xf numFmtId="0" fontId="21" fillId="4" borderId="19" applyNumberFormat="1" applyFont="1" applyFill="1" applyBorder="1" applyAlignment="1" applyProtection="0">
      <alignment vertical="bottom"/>
    </xf>
    <xf numFmtId="15" fontId="21" fillId="4" borderId="1" applyNumberFormat="1" applyFont="1" applyFill="1" applyBorder="1" applyAlignment="1" applyProtection="0">
      <alignment vertical="bottom"/>
    </xf>
    <xf numFmtId="68" fontId="11" fillId="4" borderId="1" applyNumberFormat="1" applyFont="1" applyFill="1" applyBorder="1" applyAlignment="1" applyProtection="0">
      <alignment vertical="bottom"/>
    </xf>
    <xf numFmtId="0" fontId="21" borderId="19" applyNumberFormat="1" applyFont="1" applyFill="0" applyBorder="1" applyAlignment="1" applyProtection="0">
      <alignment vertical="bottom"/>
    </xf>
    <xf numFmtId="15" fontId="21" borderId="1" applyNumberFormat="1" applyFont="1" applyFill="0" applyBorder="1" applyAlignment="1" applyProtection="0">
      <alignment vertical="bottom"/>
    </xf>
    <xf numFmtId="0" fontId="11" fillId="4" borderId="1" applyNumberFormat="1" applyFont="1" applyFill="1" applyBorder="1" applyAlignment="1" applyProtection="0">
      <alignment horizontal="center" vertical="bottom"/>
    </xf>
    <xf numFmtId="59" fontId="15" fillId="4" borderId="19" applyNumberFormat="1" applyFont="1" applyFill="1" applyBorder="1" applyAlignment="1" applyProtection="0">
      <alignment vertical="bottom"/>
    </xf>
    <xf numFmtId="59" fontId="15" fillId="4" borderId="1" applyNumberFormat="1" applyFont="1" applyFill="1" applyBorder="1" applyAlignment="1" applyProtection="0">
      <alignment vertical="bottom"/>
    </xf>
    <xf numFmtId="67" fontId="4" fillId="4" borderId="1" applyNumberFormat="1" applyFont="1" applyFill="1" applyBorder="1" applyAlignment="1" applyProtection="0">
      <alignment horizontal="center" vertical="bottom"/>
    </xf>
    <xf numFmtId="59" fontId="62" fillId="4" borderId="1" applyNumberFormat="1" applyFont="1" applyFill="1" applyBorder="1" applyAlignment="1" applyProtection="0">
      <alignment vertical="bottom"/>
    </xf>
    <xf numFmtId="0" fontId="49" fillId="4" borderId="97" applyNumberFormat="1" applyFont="1" applyFill="1" applyBorder="1" applyAlignment="1" applyProtection="0">
      <alignment vertical="bottom"/>
    </xf>
    <xf numFmtId="1" fontId="49" fillId="4" borderId="2" applyNumberFormat="1" applyFont="1" applyFill="1" applyBorder="1" applyAlignment="1" applyProtection="0">
      <alignment vertical="bottom"/>
    </xf>
    <xf numFmtId="1" fontId="63" fillId="4" borderId="2" applyNumberFormat="1" applyFont="1" applyFill="1" applyBorder="1" applyAlignment="1" applyProtection="0">
      <alignment vertical="bottom"/>
    </xf>
    <xf numFmtId="67" fontId="4" fillId="4" borderId="2" applyNumberFormat="1" applyFont="1" applyFill="1" applyBorder="1" applyAlignment="1" applyProtection="0">
      <alignment horizontal="center" vertical="bottom"/>
    </xf>
    <xf numFmtId="59" fontId="11" fillId="4" borderId="2" applyNumberFormat="1" applyFont="1" applyFill="1" applyBorder="1" applyAlignment="1" applyProtection="0">
      <alignment vertical="bottom"/>
    </xf>
    <xf numFmtId="10" fontId="11" fillId="4" borderId="2" applyNumberFormat="1" applyFont="1" applyFill="1" applyBorder="1" applyAlignment="1" applyProtection="0">
      <alignment vertical="bottom"/>
    </xf>
    <xf numFmtId="59" fontId="11" fillId="4" borderId="107" applyNumberFormat="1" applyFont="1" applyFill="1" applyBorder="1" applyAlignment="1" applyProtection="0">
      <alignment vertical="bottom"/>
    </xf>
    <xf numFmtId="59" fontId="11" fillId="4" borderId="7" applyNumberFormat="1" applyFont="1" applyFill="1" applyBorder="1" applyAlignment="1" applyProtection="0">
      <alignment vertical="bottom"/>
    </xf>
    <xf numFmtId="68" fontId="15" fillId="4" borderId="7" applyNumberFormat="1" applyFont="1" applyFill="1" applyBorder="1" applyAlignment="1" applyProtection="0">
      <alignment horizontal="center" vertical="bottom"/>
    </xf>
    <xf numFmtId="59" fontId="11" fillId="4" borderId="10" applyNumberFormat="1" applyFont="1" applyFill="1" applyBorder="1" applyAlignment="1" applyProtection="0">
      <alignment vertical="bottom"/>
    </xf>
    <xf numFmtId="0" fontId="15" fillId="4" borderId="10" applyNumberFormat="1" applyFont="1" applyFill="1" applyBorder="1" applyAlignment="1" applyProtection="0">
      <alignment horizontal="center" vertical="bottom"/>
    </xf>
    <xf numFmtId="68" fontId="15" fillId="4" borderId="10" applyNumberFormat="1" applyFont="1" applyFill="1" applyBorder="1" applyAlignment="1" applyProtection="0">
      <alignment horizontal="center" vertical="bottom"/>
    </xf>
    <xf numFmtId="1" fontId="15" fillId="4" borderId="10" applyNumberFormat="1" applyFont="1" applyFill="1" applyBorder="1" applyAlignment="1" applyProtection="0">
      <alignment horizontal="center" vertical="bottom"/>
    </xf>
    <xf numFmtId="0" fontId="13" fillId="4" borderId="16" applyNumberFormat="1" applyFont="1" applyFill="1" applyBorder="1" applyAlignment="1" applyProtection="0">
      <alignment vertical="bottom"/>
    </xf>
    <xf numFmtId="59" fontId="15" fillId="4" borderId="10" applyNumberFormat="1" applyFont="1" applyFill="1" applyBorder="1" applyAlignment="1" applyProtection="0">
      <alignment vertical="bottom"/>
    </xf>
    <xf numFmtId="59" fontId="15" fillId="4" borderId="12" applyNumberFormat="1" applyFont="1" applyFill="1" applyBorder="1" applyAlignment="1" applyProtection="0">
      <alignment vertical="bottom"/>
    </xf>
    <xf numFmtId="59" fontId="15" fillId="4" borderId="12" applyNumberFormat="1" applyFont="1" applyFill="1" applyBorder="1" applyAlignment="1" applyProtection="0">
      <alignment horizontal="center" vertical="bottom"/>
    </xf>
    <xf numFmtId="0" fontId="63" fillId="4" borderId="7" applyNumberFormat="1" applyFont="1" applyFill="1" applyBorder="1" applyAlignment="1" applyProtection="0">
      <alignment vertical="bottom"/>
    </xf>
    <xf numFmtId="59" fontId="15" fillId="4" borderId="7" applyNumberFormat="1" applyFont="1" applyFill="1" applyBorder="1" applyAlignment="1" applyProtection="0">
      <alignment vertical="bottom"/>
    </xf>
    <xf numFmtId="59" fontId="11" fillId="4" borderId="7" applyNumberFormat="1" applyFont="1" applyFill="1" applyBorder="1" applyAlignment="1" applyProtection="0">
      <alignment horizontal="center" vertical="bottom"/>
    </xf>
    <xf numFmtId="0" fontId="11" fillId="4" borderId="10" applyNumberFormat="1" applyFont="1" applyFill="1" applyBorder="1" applyAlignment="1" applyProtection="0">
      <alignment vertical="bottom"/>
    </xf>
    <xf numFmtId="38" fontId="11" fillId="4" borderId="10" applyNumberFormat="1" applyFont="1" applyFill="1" applyBorder="1" applyAlignment="1" applyProtection="0">
      <alignment horizontal="center" vertical="bottom"/>
    </xf>
    <xf numFmtId="38" fontId="11" borderId="10" applyNumberFormat="1" applyFont="1" applyFill="0" applyBorder="1" applyAlignment="1" applyProtection="0">
      <alignment horizontal="center" vertical="bottom"/>
    </xf>
    <xf numFmtId="59" fontId="11" fillId="4" borderId="12" applyNumberFormat="1" applyFont="1" applyFill="1" applyBorder="1" applyAlignment="1" applyProtection="0">
      <alignment vertical="bottom"/>
    </xf>
    <xf numFmtId="38" fontId="11" fillId="4" borderId="12" applyNumberFormat="1" applyFont="1" applyFill="1" applyBorder="1" applyAlignment="1" applyProtection="0">
      <alignment horizontal="center" vertical="bottom"/>
    </xf>
    <xf numFmtId="0" fontId="13" fillId="4" borderId="3" applyNumberFormat="1" applyFont="1" applyFill="1" applyBorder="1" applyAlignment="1" applyProtection="0">
      <alignment vertical="bottom"/>
    </xf>
    <xf numFmtId="59" fontId="13" fillId="4" borderId="3" applyNumberFormat="1" applyFont="1" applyFill="1" applyBorder="1" applyAlignment="1" applyProtection="0">
      <alignment vertical="bottom"/>
    </xf>
    <xf numFmtId="38" fontId="13" fillId="4" borderId="3" applyNumberFormat="1" applyFont="1" applyFill="1" applyBorder="1" applyAlignment="1" applyProtection="0">
      <alignment horizontal="center" vertical="bottom"/>
    </xf>
    <xf numFmtId="38" fontId="11" fillId="4" borderId="7" applyNumberFormat="1" applyFont="1" applyFill="1" applyBorder="1" applyAlignment="1" applyProtection="0">
      <alignment horizontal="center" vertical="bottom"/>
    </xf>
    <xf numFmtId="0" fontId="11" fillId="4" borderId="10" applyNumberFormat="1" applyFont="1" applyFill="1" applyBorder="1" applyAlignment="1" applyProtection="0">
      <alignment vertical="center"/>
    </xf>
    <xf numFmtId="59" fontId="11" fillId="4" borderId="10" applyNumberFormat="1" applyFont="1" applyFill="1" applyBorder="1" applyAlignment="1" applyProtection="0">
      <alignment vertical="center"/>
    </xf>
    <xf numFmtId="38" fontId="15" fillId="4" borderId="7" applyNumberFormat="1" applyFont="1" applyFill="1" applyBorder="1" applyAlignment="1" applyProtection="0">
      <alignment horizontal="center" vertical="bottom"/>
    </xf>
    <xf numFmtId="0" fontId="15" fillId="4" borderId="10" applyNumberFormat="1" applyFont="1" applyFill="1" applyBorder="1" applyAlignment="1" applyProtection="0">
      <alignment vertical="bottom"/>
    </xf>
    <xf numFmtId="10" fontId="15" borderId="10" applyNumberFormat="1" applyFont="1" applyFill="0" applyBorder="1" applyAlignment="1" applyProtection="0">
      <alignment horizontal="center" vertical="bottom"/>
    </xf>
    <xf numFmtId="0" fontId="11" fillId="4" borderId="16" applyNumberFormat="1" applyFont="1" applyFill="1" applyBorder="1" applyAlignment="1" applyProtection="0">
      <alignment vertical="bottom"/>
    </xf>
    <xf numFmtId="38" fontId="15" fillId="4" borderId="10" applyNumberFormat="1" applyFont="1" applyFill="1" applyBorder="1" applyAlignment="1" applyProtection="0">
      <alignment horizontal="center" vertical="bottom"/>
    </xf>
    <xf numFmtId="59" fontId="11" fillId="4" borderId="10" applyNumberFormat="1" applyFont="1" applyFill="1" applyBorder="1" applyAlignment="1" applyProtection="0">
      <alignment horizontal="center" vertical="bottom"/>
    </xf>
    <xf numFmtId="38" fontId="64" fillId="4" borderId="10" applyNumberFormat="1" applyFont="1" applyFill="1" applyBorder="1" applyAlignment="1" applyProtection="0">
      <alignment vertical="bottom"/>
    </xf>
    <xf numFmtId="10" fontId="15" fillId="7" borderId="10" applyNumberFormat="1" applyFont="1" applyFill="1" applyBorder="1" applyAlignment="1" applyProtection="0">
      <alignment horizontal="center" vertical="bottom"/>
    </xf>
    <xf numFmtId="38" fontId="11" fillId="4" borderId="10" applyNumberFormat="1" applyFont="1" applyFill="1" applyBorder="1" applyAlignment="1" applyProtection="0">
      <alignment vertical="bottom"/>
    </xf>
    <xf numFmtId="59" fontId="11" fillId="4" borderId="3" applyNumberFormat="1" applyFont="1" applyFill="1" applyBorder="1" applyAlignment="1" applyProtection="0">
      <alignment vertical="bottom"/>
    </xf>
    <xf numFmtId="38" fontId="11" fillId="4" borderId="3" applyNumberFormat="1" applyFont="1" applyFill="1" applyBorder="1" applyAlignment="1" applyProtection="0">
      <alignment horizontal="center" vertical="bottom"/>
    </xf>
    <xf numFmtId="59" fontId="11" fillId="4" borderId="98" applyNumberFormat="1" applyFont="1" applyFill="1" applyBorder="1" applyAlignment="1" applyProtection="0">
      <alignment vertical="bottom"/>
    </xf>
    <xf numFmtId="59" fontId="11" fillId="4" borderId="15" applyNumberFormat="1" applyFont="1" applyFill="1" applyBorder="1" applyAlignment="1" applyProtection="0">
      <alignment vertical="bottom"/>
    </xf>
    <xf numFmtId="59" fontId="11" fillId="4" borderId="15" applyNumberFormat="1" applyFont="1" applyFill="1" applyBorder="1" applyAlignment="1" applyProtection="0">
      <alignment horizontal="center" vertical="bottom"/>
    </xf>
    <xf numFmtId="59" fontId="11" fillId="4" borderId="108" applyNumberFormat="1" applyFont="1" applyFill="1" applyBorder="1" applyAlignment="1" applyProtection="0">
      <alignment horizontal="center" vertical="bottom"/>
    </xf>
    <xf numFmtId="59" fontId="11" fillId="4" borderId="19" applyNumberFormat="1" applyFont="1" applyFill="1" applyBorder="1" applyAlignment="1" applyProtection="0">
      <alignment vertical="bottom"/>
    </xf>
    <xf numFmtId="0" fontId="8" applyNumberFormat="1" applyFont="1" applyFill="0" applyBorder="0" applyAlignment="1" applyProtection="0">
      <alignment vertical="top" wrapText="1"/>
    </xf>
    <xf numFmtId="0" fontId="4" applyNumberFormat="1" applyFont="1" applyFill="0" applyBorder="0" applyAlignment="1" applyProtection="0">
      <alignment vertical="bottom"/>
    </xf>
    <xf numFmtId="0" fontId="21" fillId="4" applyNumberFormat="1" applyFont="1" applyFill="1" applyBorder="0" applyAlignment="1" applyProtection="0">
      <alignment vertical="bottom"/>
    </xf>
    <xf numFmtId="1" fontId="13" fillId="4" borderId="18" applyNumberFormat="1" applyFont="1" applyFill="1" applyBorder="1" applyAlignment="1" applyProtection="0">
      <alignment vertical="bottom"/>
    </xf>
    <xf numFmtId="1" fontId="4" fillId="4" borderId="18" applyNumberFormat="1" applyFont="1" applyFill="1" applyBorder="1" applyAlignment="1" applyProtection="0">
      <alignment vertical="bottom"/>
    </xf>
    <xf numFmtId="0" fontId="49" fillId="4" borderId="19" applyNumberFormat="1" applyFont="1" applyFill="1" applyBorder="1" applyAlignment="1" applyProtection="0">
      <alignment vertical="bottom"/>
    </xf>
    <xf numFmtId="59" fontId="49" fillId="4" borderId="97" applyNumberFormat="1" applyFont="1" applyFill="1" applyBorder="1" applyAlignment="1" applyProtection="0">
      <alignment vertical="bottom"/>
    </xf>
    <xf numFmtId="59" fontId="6" fillId="4" borderId="2" applyNumberFormat="1" applyFont="1" applyFill="1" applyBorder="1" applyAlignment="1" applyProtection="0">
      <alignment vertical="bottom"/>
    </xf>
    <xf numFmtId="1" fontId="4" fillId="4" borderId="2" applyNumberFormat="1" applyFont="1" applyFill="1" applyBorder="1" applyAlignment="1" applyProtection="0">
      <alignment vertical="bottom"/>
    </xf>
    <xf numFmtId="1" fontId="10" borderId="2" applyNumberFormat="1" applyFont="1" applyFill="0" applyBorder="1" applyAlignment="1" applyProtection="0">
      <alignment vertical="bottom"/>
    </xf>
    <xf numFmtId="1" fontId="10" fillId="4" borderId="2" applyNumberFormat="1" applyFont="1" applyFill="1" applyBorder="1" applyAlignment="1" applyProtection="0">
      <alignment vertical="bottom"/>
    </xf>
    <xf numFmtId="59" fontId="49" fillId="4" borderId="7" applyNumberFormat="1" applyFont="1" applyFill="1" applyBorder="1" applyAlignment="1" applyProtection="0">
      <alignment vertical="bottom"/>
    </xf>
    <xf numFmtId="59" fontId="6" fillId="4" borderId="7" applyNumberFormat="1" applyFont="1" applyFill="1" applyBorder="1" applyAlignment="1" applyProtection="0">
      <alignment vertical="bottom"/>
    </xf>
    <xf numFmtId="0" fontId="15" fillId="4" borderId="16" applyNumberFormat="1" applyFont="1" applyFill="1" applyBorder="1" applyAlignment="1" applyProtection="0">
      <alignment horizontal="center" vertical="bottom"/>
    </xf>
    <xf numFmtId="1" fontId="65" fillId="4" borderId="10" applyNumberFormat="1" applyFont="1" applyFill="1" applyBorder="1" applyAlignment="1" applyProtection="0">
      <alignment horizontal="center" vertical="bottom"/>
    </xf>
    <xf numFmtId="0" fontId="11" fillId="4" borderId="16" applyNumberFormat="1" applyFont="1" applyFill="1" applyBorder="1" applyAlignment="1" applyProtection="0">
      <alignment horizontal="center" vertical="bottom"/>
    </xf>
    <xf numFmtId="1" fontId="11" fillId="4" borderId="12" applyNumberFormat="1" applyFont="1" applyFill="1" applyBorder="1" applyAlignment="1" applyProtection="0">
      <alignment horizontal="center" vertical="bottom"/>
    </xf>
    <xf numFmtId="1" fontId="22" fillId="4" borderId="12" applyNumberFormat="1" applyFont="1" applyFill="1" applyBorder="1" applyAlignment="1" applyProtection="0">
      <alignment horizontal="center" vertical="bottom"/>
    </xf>
    <xf numFmtId="1" fontId="11" fillId="4" borderId="7" applyNumberFormat="1" applyFont="1" applyFill="1" applyBorder="1" applyAlignment="1" applyProtection="0">
      <alignment horizontal="center" vertical="bottom"/>
    </xf>
    <xf numFmtId="1" fontId="22" fillId="4" borderId="7" applyNumberFormat="1" applyFont="1" applyFill="1" applyBorder="1" applyAlignment="1" applyProtection="0">
      <alignment horizontal="center" vertical="bottom"/>
    </xf>
    <xf numFmtId="1" fontId="15" fillId="4" borderId="7" applyNumberFormat="1" applyFont="1" applyFill="1" applyBorder="1" applyAlignment="1" applyProtection="0">
      <alignment horizontal="center" vertical="bottom"/>
    </xf>
    <xf numFmtId="0" fontId="15" fillId="4" borderId="10" applyNumberFormat="1" applyFont="1" applyFill="1" applyBorder="1" applyAlignment="1" applyProtection="0">
      <alignment horizontal="left" vertical="bottom"/>
    </xf>
    <xf numFmtId="1" fontId="22" fillId="4" borderId="10" applyNumberFormat="1" applyFont="1" applyFill="1" applyBorder="1" applyAlignment="1" applyProtection="0">
      <alignment horizontal="center" vertical="bottom"/>
    </xf>
    <xf numFmtId="1" fontId="11" fillId="4" borderId="10" applyNumberFormat="1" applyFont="1" applyFill="1" applyBorder="1" applyAlignment="1" applyProtection="0">
      <alignment horizontal="center" vertical="bottom"/>
    </xf>
    <xf numFmtId="67" fontId="11" fillId="4" borderId="10" applyNumberFormat="1" applyFont="1" applyFill="1" applyBorder="1" applyAlignment="1" applyProtection="0">
      <alignment horizontal="center" vertical="bottom"/>
    </xf>
    <xf numFmtId="0" fontId="11" fillId="4" borderId="10" applyNumberFormat="1" applyFont="1" applyFill="1" applyBorder="1" applyAlignment="1" applyProtection="0">
      <alignment horizontal="left" vertical="bottom"/>
    </xf>
    <xf numFmtId="1" fontId="11" fillId="4" borderId="10" applyNumberFormat="1" applyFont="1" applyFill="1" applyBorder="1" applyAlignment="1" applyProtection="0">
      <alignment horizontal="left" vertical="bottom"/>
    </xf>
    <xf numFmtId="38" fontId="22" fillId="4" borderId="12" applyNumberFormat="1" applyFont="1" applyFill="1" applyBorder="1" applyAlignment="1" applyProtection="0">
      <alignment horizontal="center" vertical="bottom"/>
    </xf>
    <xf numFmtId="38" fontId="22" fillId="4" borderId="10" applyNumberFormat="1" applyFont="1" applyFill="1" applyBorder="1" applyAlignment="1" applyProtection="0">
      <alignment horizontal="center" vertical="bottom"/>
    </xf>
    <xf numFmtId="1" fontId="15" fillId="4" borderId="10" applyNumberFormat="1" applyFont="1" applyFill="1" applyBorder="1" applyAlignment="1" applyProtection="0">
      <alignment vertical="bottom"/>
    </xf>
    <xf numFmtId="0" fontId="11" borderId="16" applyNumberFormat="1" applyFont="1" applyFill="0" applyBorder="1" applyAlignment="1" applyProtection="0">
      <alignment vertical="bottom"/>
    </xf>
    <xf numFmtId="0" fontId="11" borderId="10" applyNumberFormat="1" applyFont="1" applyFill="0" applyBorder="1" applyAlignment="1" applyProtection="0">
      <alignment vertical="bottom"/>
    </xf>
    <xf numFmtId="59" fontId="11" borderId="6" applyNumberFormat="1" applyFont="1" applyFill="0" applyBorder="1" applyAlignment="1" applyProtection="0">
      <alignment vertical="bottom"/>
    </xf>
    <xf numFmtId="59" fontId="11" borderId="1" applyNumberFormat="1" applyFont="1" applyFill="0" applyBorder="1" applyAlignment="1" applyProtection="0">
      <alignment vertical="bottom"/>
    </xf>
    <xf numFmtId="59" fontId="11" borderId="25" applyNumberFormat="1" applyFont="1" applyFill="0" applyBorder="1" applyAlignment="1" applyProtection="0">
      <alignment vertical="bottom"/>
    </xf>
    <xf numFmtId="1" fontId="11" borderId="10" applyNumberFormat="1" applyFont="1" applyFill="0" applyBorder="1" applyAlignment="1" applyProtection="0">
      <alignment vertical="bottom"/>
    </xf>
    <xf numFmtId="0" fontId="15" borderId="10" applyNumberFormat="1" applyFont="1" applyFill="0" applyBorder="1" applyAlignment="1" applyProtection="0">
      <alignment vertical="bottom"/>
    </xf>
    <xf numFmtId="38" fontId="21" fillId="4" borderId="12" applyNumberFormat="1" applyFont="1" applyFill="1" applyBorder="1" applyAlignment="1" applyProtection="0">
      <alignment vertical="bottom"/>
    </xf>
    <xf numFmtId="59" fontId="21" borderId="25" applyNumberFormat="1" applyFont="1" applyFill="0" applyBorder="1" applyAlignment="1" applyProtection="0">
      <alignment vertical="bottom"/>
    </xf>
    <xf numFmtId="0" fontId="13" fillId="4" borderId="10" applyNumberFormat="1" applyFont="1" applyFill="1" applyBorder="1" applyAlignment="1" applyProtection="0">
      <alignment vertical="bottom"/>
    </xf>
    <xf numFmtId="38" fontId="13" borderId="10" applyNumberFormat="1" applyFont="1" applyFill="0" applyBorder="1" applyAlignment="1" applyProtection="0">
      <alignment horizontal="center" vertical="bottom"/>
    </xf>
    <xf numFmtId="59" fontId="13" borderId="6" applyNumberFormat="1" applyFont="1" applyFill="0" applyBorder="1" applyAlignment="1" applyProtection="0">
      <alignment vertical="bottom"/>
    </xf>
    <xf numFmtId="59" fontId="13" borderId="25" applyNumberFormat="1" applyFont="1" applyFill="0" applyBorder="1" applyAlignment="1" applyProtection="0">
      <alignment vertical="bottom"/>
    </xf>
    <xf numFmtId="67" fontId="11" fillId="4" borderId="1" applyNumberFormat="1" applyFont="1" applyFill="1" applyBorder="1" applyAlignment="1" applyProtection="0">
      <alignment horizontal="center" vertical="bottom"/>
    </xf>
    <xf numFmtId="0" fontId="13" fillId="4" borderId="16" applyNumberFormat="1" applyFont="1" applyFill="1" applyBorder="1" applyAlignment="1" applyProtection="0">
      <alignment horizontal="center" vertical="bottom"/>
    </xf>
    <xf numFmtId="0" fontId="13" fillId="4" borderId="12" applyNumberFormat="1" applyFont="1" applyFill="1" applyBorder="1" applyAlignment="1" applyProtection="0">
      <alignment horizontal="left" vertical="bottom"/>
    </xf>
    <xf numFmtId="1" fontId="13" fillId="4" borderId="12" applyNumberFormat="1" applyFont="1" applyFill="1" applyBorder="1" applyAlignment="1" applyProtection="0">
      <alignment horizontal="center" vertical="bottom"/>
    </xf>
    <xf numFmtId="67" fontId="13" fillId="4" borderId="1" applyNumberFormat="1" applyFont="1" applyFill="1" applyBorder="1" applyAlignment="1" applyProtection="0">
      <alignment horizontal="center" vertical="bottom"/>
    </xf>
    <xf numFmtId="1" fontId="11" fillId="4" borderId="98" applyNumberFormat="1" applyFont="1" applyFill="1" applyBorder="1" applyAlignment="1" applyProtection="0">
      <alignment horizontal="center" vertical="bottom"/>
    </xf>
    <xf numFmtId="1" fontId="11" fillId="4" borderId="15" applyNumberFormat="1" applyFont="1" applyFill="1" applyBorder="1" applyAlignment="1" applyProtection="0">
      <alignment horizontal="center" vertical="bottom"/>
    </xf>
    <xf numFmtId="0" fontId="11" fillId="4" borderId="19" applyNumberFormat="1" applyFont="1" applyFill="1" applyBorder="1" applyAlignment="1" applyProtection="0">
      <alignment horizontal="center" vertical="bottom"/>
    </xf>
    <xf numFmtId="1" fontId="11" fillId="4" borderId="1" applyNumberFormat="1" applyFont="1" applyFill="1" applyBorder="1" applyAlignment="1" applyProtection="0">
      <alignment horizontal="center" vertical="bottom"/>
    </xf>
    <xf numFmtId="38" fontId="11" fillId="4" borderId="1" applyNumberFormat="1" applyFont="1" applyFill="1" applyBorder="1" applyAlignment="1" applyProtection="0">
      <alignment horizontal="center" vertical="bottom"/>
    </xf>
    <xf numFmtId="1" fontId="11" fillId="4" borderId="19" applyNumberFormat="1" applyFont="1" applyFill="1" applyBorder="1" applyAlignment="1" applyProtection="0">
      <alignment horizontal="center" vertical="bottom"/>
    </xf>
    <xf numFmtId="10" fontId="11" fillId="4" borderId="1" applyNumberFormat="1" applyFont="1" applyFill="1" applyBorder="1" applyAlignment="1" applyProtection="0">
      <alignment horizontal="center" vertical="bottom"/>
    </xf>
    <xf numFmtId="4" fontId="11" fillId="4" borderId="1" applyNumberFormat="1" applyFont="1" applyFill="1" applyBorder="1" applyAlignment="1" applyProtection="0">
      <alignment horizontal="center" vertical="bottom"/>
    </xf>
    <xf numFmtId="59" fontId="11" fillId="4" borderId="1" applyNumberFormat="1" applyFont="1" applyFill="1" applyBorder="1" applyAlignment="1" applyProtection="0">
      <alignment horizontal="center" vertical="bottom"/>
    </xf>
    <xf numFmtId="68" fontId="21" fillId="4" borderId="1" applyNumberFormat="1" applyFont="1" applyFill="1" applyBorder="1" applyAlignment="1" applyProtection="0">
      <alignment vertical="bottom"/>
    </xf>
    <xf numFmtId="0" fontId="21" fillId="4" borderId="1" applyNumberFormat="1" applyFont="1" applyFill="1" applyBorder="1" applyAlignment="1" applyProtection="0">
      <alignment horizontal="right" vertical="bottom"/>
    </xf>
    <xf numFmtId="1" fontId="11" borderId="19" applyNumberFormat="1" applyFont="1" applyFill="0" applyBorder="1" applyAlignment="1" applyProtection="0">
      <alignment vertical="bottom"/>
    </xf>
    <xf numFmtId="0" fontId="4" applyNumberFormat="1" applyFont="1" applyFill="0" applyBorder="0" applyAlignment="1" applyProtection="0">
      <alignment vertical="bottom"/>
    </xf>
    <xf numFmtId="0" fontId="6" fillId="4" borderId="51" applyNumberFormat="1" applyFont="1" applyFill="1" applyBorder="1" applyAlignment="1" applyProtection="0">
      <alignment vertical="bottom"/>
    </xf>
    <xf numFmtId="59" fontId="6" fillId="4" borderId="51" applyNumberFormat="1" applyFont="1" applyFill="1" applyBorder="1" applyAlignment="1" applyProtection="0">
      <alignment vertical="bottom"/>
    </xf>
    <xf numFmtId="59" fontId="6" fillId="4" borderId="53" applyNumberFormat="1" applyFont="1" applyFill="1" applyBorder="1" applyAlignment="1" applyProtection="0">
      <alignment vertical="bottom"/>
    </xf>
    <xf numFmtId="0" fontId="49" fillId="4" borderId="52" applyNumberFormat="1" applyFont="1" applyFill="1" applyBorder="1" applyAlignment="1" applyProtection="0">
      <alignment vertical="bottom"/>
    </xf>
    <xf numFmtId="59" fontId="49" fillId="4" borderId="52" applyNumberFormat="1" applyFont="1" applyFill="1" applyBorder="1" applyAlignment="1" applyProtection="0">
      <alignment vertical="bottom"/>
    </xf>
    <xf numFmtId="59" fontId="49" fillId="4" borderId="17" applyNumberFormat="1" applyFont="1" applyFill="1" applyBorder="1" applyAlignment="1" applyProtection="0">
      <alignment vertical="bottom"/>
    </xf>
    <xf numFmtId="59" fontId="66" fillId="4" borderId="1" applyNumberFormat="1" applyFont="1" applyFill="1" applyBorder="1" applyAlignment="1" applyProtection="0">
      <alignment vertical="bottom"/>
    </xf>
    <xf numFmtId="59" fontId="58" fillId="4" borderId="1" applyNumberFormat="1" applyFont="1" applyFill="1" applyBorder="1" applyAlignment="1" applyProtection="0">
      <alignment vertical="center"/>
    </xf>
    <xf numFmtId="10" fontId="45" fillId="4" borderId="1" applyNumberFormat="1" applyFont="1" applyFill="1" applyBorder="1" applyAlignment="1" applyProtection="0">
      <alignment vertical="center"/>
    </xf>
    <xf numFmtId="59" fontId="45" fillId="4" borderId="2" applyNumberFormat="1" applyFont="1" applyFill="1" applyBorder="1" applyAlignment="1" applyProtection="0">
      <alignment vertical="bottom"/>
    </xf>
    <xf numFmtId="59" fontId="66" fillId="4" borderId="2" applyNumberFormat="1" applyFont="1" applyFill="1" applyBorder="1" applyAlignment="1" applyProtection="0">
      <alignment vertical="bottom"/>
    </xf>
    <xf numFmtId="1" fontId="10" fillId="4" borderId="107" applyNumberFormat="1" applyFont="1" applyFill="1" applyBorder="1" applyAlignment="1" applyProtection="0">
      <alignment vertical="bottom"/>
    </xf>
    <xf numFmtId="1" fontId="4" fillId="4" borderId="97" applyNumberFormat="1" applyFont="1" applyFill="1" applyBorder="1" applyAlignment="1" applyProtection="0">
      <alignment vertical="bottom"/>
    </xf>
    <xf numFmtId="59" fontId="58" fillId="4" borderId="2" applyNumberFormat="1" applyFont="1" applyFill="1" applyBorder="1" applyAlignment="1" applyProtection="0">
      <alignment vertical="center"/>
    </xf>
    <xf numFmtId="10" fontId="45" fillId="4" borderId="2" applyNumberFormat="1" applyFont="1" applyFill="1" applyBorder="1" applyAlignment="1" applyProtection="0">
      <alignment vertical="center"/>
    </xf>
    <xf numFmtId="59" fontId="45" fillId="4" borderId="7" applyNumberFormat="1" applyFont="1" applyFill="1" applyBorder="1" applyAlignment="1" applyProtection="0">
      <alignment vertical="bottom"/>
    </xf>
    <xf numFmtId="0" fontId="15" fillId="4" borderId="63" applyNumberFormat="1" applyFont="1" applyFill="1" applyBorder="1" applyAlignment="1" applyProtection="0">
      <alignment horizontal="center" vertical="bottom"/>
    </xf>
    <xf numFmtId="59" fontId="15" fillId="4" borderId="61" applyNumberFormat="1" applyFont="1" applyFill="1" applyBorder="1" applyAlignment="1" applyProtection="0">
      <alignment horizontal="center" vertical="bottom"/>
    </xf>
    <xf numFmtId="0" fontId="15" fillId="4" borderId="7" applyNumberFormat="1" applyFont="1" applyFill="1" applyBorder="1" applyAlignment="1" applyProtection="0">
      <alignment vertical="bottom"/>
    </xf>
    <xf numFmtId="10" fontId="11" fillId="4" borderId="10" applyNumberFormat="1" applyFont="1" applyFill="1" applyBorder="1" applyAlignment="1" applyProtection="0">
      <alignment horizontal="center" vertical="bottom"/>
    </xf>
    <xf numFmtId="38" fontId="11" fillId="4" borderId="10" applyNumberFormat="1" applyFont="1" applyFill="1" applyBorder="1" applyAlignment="1" applyProtection="0">
      <alignment horizontal="center" vertical="center"/>
    </xf>
    <xf numFmtId="38" fontId="11" fillId="4" borderId="12" applyNumberFormat="1" applyFont="1" applyFill="1" applyBorder="1" applyAlignment="1" applyProtection="0">
      <alignment horizontal="center" vertical="center"/>
    </xf>
    <xf numFmtId="38" fontId="15" fillId="4" borderId="58" applyNumberFormat="1" applyFont="1" applyFill="1" applyBorder="1" applyAlignment="1" applyProtection="0">
      <alignment horizontal="center" vertical="bottom"/>
    </xf>
    <xf numFmtId="38" fontId="11" fillId="4" borderId="61" applyNumberFormat="1" applyFont="1" applyFill="1" applyBorder="1" applyAlignment="1" applyProtection="0">
      <alignment horizontal="center" vertical="bottom"/>
    </xf>
    <xf numFmtId="59" fontId="13" fillId="4" borderId="10" applyNumberFormat="1" applyFont="1" applyFill="1" applyBorder="1" applyAlignment="1" applyProtection="0">
      <alignment vertical="bottom"/>
    </xf>
    <xf numFmtId="38" fontId="13" fillId="4" borderId="7" applyNumberFormat="1" applyFont="1" applyFill="1" applyBorder="1" applyAlignment="1" applyProtection="0">
      <alignment horizontal="center" vertical="bottom"/>
    </xf>
    <xf numFmtId="38" fontId="15" fillId="4" borderId="63" applyNumberFormat="1" applyFont="1" applyFill="1" applyBorder="1" applyAlignment="1" applyProtection="0">
      <alignment horizontal="center" vertical="bottom"/>
    </xf>
    <xf numFmtId="38" fontId="11" fillId="4" borderId="60" applyNumberFormat="1" applyFont="1" applyFill="1" applyBorder="1" applyAlignment="1" applyProtection="0">
      <alignment horizontal="center" vertical="bottom"/>
    </xf>
    <xf numFmtId="38" fontId="11" fillId="4" borderId="62" applyNumberFormat="1" applyFont="1" applyFill="1" applyBorder="1" applyAlignment="1" applyProtection="0">
      <alignment horizontal="center" vertical="bottom"/>
    </xf>
    <xf numFmtId="38" fontId="15" fillId="4" borderId="62" applyNumberFormat="1" applyFont="1" applyFill="1" applyBorder="1" applyAlignment="1" applyProtection="0">
      <alignment horizontal="center" vertical="bottom"/>
    </xf>
    <xf numFmtId="38" fontId="11" fillId="4" borderId="63" applyNumberFormat="1" applyFont="1" applyFill="1" applyBorder="1" applyAlignment="1" applyProtection="0">
      <alignment horizontal="center" vertical="bottom"/>
    </xf>
    <xf numFmtId="0" fontId="13" fillId="4" borderId="12" applyNumberFormat="1" applyFont="1" applyFill="1" applyBorder="1" applyAlignment="1" applyProtection="0">
      <alignment vertical="center"/>
    </xf>
    <xf numFmtId="59" fontId="13" fillId="4" borderId="12" applyNumberFormat="1" applyFont="1" applyFill="1" applyBorder="1" applyAlignment="1" applyProtection="0">
      <alignment vertical="center"/>
    </xf>
    <xf numFmtId="38" fontId="13" fillId="4" borderId="3" applyNumberFormat="1" applyFont="1" applyFill="1" applyBorder="1" applyAlignment="1" applyProtection="0">
      <alignment horizontal="center" vertical="center"/>
    </xf>
    <xf numFmtId="59" fontId="67" fillId="4" borderId="15" applyNumberFormat="1" applyFont="1" applyFill="1" applyBorder="1" applyAlignment="1" applyProtection="0">
      <alignment vertical="bottom"/>
    </xf>
    <xf numFmtId="59" fontId="21" fillId="4" borderId="15" applyNumberFormat="1" applyFont="1" applyFill="1" applyBorder="1" applyAlignment="1" applyProtection="0">
      <alignment horizontal="center" vertical="bottom"/>
    </xf>
    <xf numFmtId="59" fontId="68" fillId="4" borderId="15" applyNumberFormat="1" applyFont="1" applyFill="1" applyBorder="1" applyAlignment="1" applyProtection="0">
      <alignment vertical="bottom"/>
    </xf>
    <xf numFmtId="59" fontId="67" fillId="4" borderId="1" applyNumberFormat="1" applyFont="1" applyFill="1" applyBorder="1" applyAlignment="1" applyProtection="0">
      <alignment vertical="bottom"/>
    </xf>
    <xf numFmtId="59" fontId="68" fillId="4" borderId="1" applyNumberFormat="1" applyFont="1" applyFill="1" applyBorder="1" applyAlignment="1" applyProtection="0">
      <alignment vertical="bottom"/>
    </xf>
    <xf numFmtId="80" fontId="21" fillId="4" borderId="1" applyNumberFormat="1" applyFont="1" applyFill="1" applyBorder="1" applyAlignment="1" applyProtection="0">
      <alignment vertical="bottom"/>
    </xf>
    <xf numFmtId="0" fontId="4" applyNumberFormat="1" applyFont="1" applyFill="0" applyBorder="0" applyAlignment="1" applyProtection="0">
      <alignment vertical="bottom"/>
    </xf>
    <xf numFmtId="0" fontId="66" fillId="4" borderId="1" applyNumberFormat="1" applyFont="1" applyFill="1" applyBorder="1" applyAlignment="1" applyProtection="0">
      <alignment vertical="bottom"/>
    </xf>
    <xf numFmtId="81" fontId="66" fillId="15" borderId="1" applyNumberFormat="1" applyFont="1" applyFill="1" applyBorder="1" applyAlignment="1" applyProtection="0">
      <alignment vertical="bottom"/>
    </xf>
    <xf numFmtId="81" fontId="66" fillId="4" borderId="1" applyNumberFormat="1" applyFont="1" applyFill="1" applyBorder="1" applyAlignment="1" applyProtection="0">
      <alignment vertical="bottom"/>
    </xf>
    <xf numFmtId="59" fontId="66" fillId="16" borderId="1" applyNumberFormat="1" applyFont="1" applyFill="1" applyBorder="1" applyAlignment="1" applyProtection="0">
      <alignment vertical="bottom"/>
    </xf>
    <xf numFmtId="59" fontId="66" borderId="1" applyNumberFormat="1" applyFont="1" applyFill="0" applyBorder="1" applyAlignment="1" applyProtection="0">
      <alignment vertical="bottom"/>
    </xf>
    <xf numFmtId="82" fontId="66" fillId="4" borderId="1" applyNumberFormat="1" applyFont="1" applyFill="1" applyBorder="1" applyAlignment="1" applyProtection="0">
      <alignment vertical="bottom"/>
    </xf>
    <xf numFmtId="83" fontId="66" fillId="4" borderId="1" applyNumberFormat="1" applyFont="1" applyFill="1" applyBorder="1" applyAlignment="1" applyProtection="0">
      <alignment vertical="bottom"/>
    </xf>
    <xf numFmtId="10" fontId="66" fillId="4" borderId="1" applyNumberFormat="1" applyFont="1" applyFill="1" applyBorder="1" applyAlignment="1" applyProtection="0">
      <alignment vertical="bottom"/>
    </xf>
    <xf numFmtId="79" fontId="66" fillId="4" borderId="1" applyNumberFormat="1" applyFont="1" applyFill="1" applyBorder="1" applyAlignment="1" applyProtection="0">
      <alignment vertical="bottom"/>
    </xf>
    <xf numFmtId="84" fontId="66" fillId="4" borderId="1" applyNumberFormat="1" applyFont="1" applyFill="1" applyBorder="1" applyAlignment="1" applyProtection="0">
      <alignment vertical="bottom"/>
    </xf>
    <xf numFmtId="85" fontId="66" fillId="4" borderId="1" applyNumberFormat="1" applyFont="1" applyFill="1" applyBorder="1" applyAlignment="1" applyProtection="0">
      <alignment vertical="bottom"/>
    </xf>
    <xf numFmtId="0" fontId="66" fillId="4" borderId="1" applyNumberFormat="1" applyFont="1" applyFill="1" applyBorder="1" applyAlignment="1" applyProtection="0">
      <alignment horizontal="center" vertical="bottom"/>
    </xf>
    <xf numFmtId="59" fontId="21" fillId="4" borderId="1" applyNumberFormat="1" applyFont="1" applyFill="1" applyBorder="1" applyAlignment="1" applyProtection="0">
      <alignment horizontal="center" vertical="bottom"/>
    </xf>
    <xf numFmtId="81" fontId="66" fillId="4" borderId="1" applyNumberFormat="1" applyFont="1" applyFill="1" applyBorder="1" applyAlignment="1" applyProtection="0">
      <alignment horizontal="center" vertical="bottom"/>
    </xf>
    <xf numFmtId="4" fontId="21" fillId="4" borderId="1" applyNumberFormat="1" applyFont="1" applyFill="1" applyBorder="1" applyAlignment="1" applyProtection="0">
      <alignment vertical="bottom"/>
    </xf>
    <xf numFmtId="59" fontId="66" fillId="4" borderId="106" applyNumberFormat="1" applyFont="1" applyFill="1" applyBorder="1" applyAlignment="1" applyProtection="0">
      <alignment vertical="bottom"/>
    </xf>
    <xf numFmtId="79" fontId="66" fillId="4" borderId="105" applyNumberFormat="1" applyFont="1" applyFill="1" applyBorder="1" applyAlignment="1" applyProtection="0">
      <alignment vertical="bottom"/>
    </xf>
    <xf numFmtId="59" fontId="66" fillId="4" borderId="15" applyNumberFormat="1" applyFont="1" applyFill="1" applyBorder="1" applyAlignment="1" applyProtection="0">
      <alignment vertical="bottom"/>
    </xf>
    <xf numFmtId="0" fontId="4" applyNumberFormat="1" applyFont="1" applyFill="0" applyBorder="0" applyAlignment="1" applyProtection="0">
      <alignment vertical="bottom"/>
    </xf>
    <xf numFmtId="59" fontId="4" borderId="51" applyNumberFormat="1" applyFont="1" applyFill="0" applyBorder="1" applyAlignment="1" applyProtection="0">
      <alignment vertical="bottom"/>
    </xf>
    <xf numFmtId="0" fontId="4" applyNumberFormat="1" applyFont="1" applyFill="0" applyBorder="0" applyAlignment="1" applyProtection="0">
      <alignment vertical="bottom"/>
    </xf>
    <xf numFmtId="1" fontId="69" borderId="109" applyNumberFormat="1" applyFont="1" applyFill="0" applyBorder="1" applyAlignment="1" applyProtection="0">
      <alignment vertical="bottom"/>
    </xf>
    <xf numFmtId="0" fontId="70" borderId="3" applyNumberFormat="1" applyFont="1" applyFill="0" applyBorder="1" applyAlignment="1" applyProtection="0">
      <alignment horizontal="center" vertical="bottom"/>
    </xf>
    <xf numFmtId="1" fontId="69" borderId="110" applyNumberFormat="1" applyFont="1" applyFill="0" applyBorder="1" applyAlignment="1" applyProtection="0">
      <alignment vertical="bottom"/>
    </xf>
    <xf numFmtId="1" fontId="69" borderId="111" applyNumberFormat="1" applyFont="1" applyFill="0" applyBorder="1" applyAlignment="1" applyProtection="0">
      <alignment vertical="bottom"/>
    </xf>
    <xf numFmtId="1" fontId="69" borderId="112" applyNumberFormat="1" applyFont="1" applyFill="0" applyBorder="1" applyAlignment="1" applyProtection="0">
      <alignment vertical="bottom"/>
    </xf>
    <xf numFmtId="0" fontId="4" borderId="71" applyNumberFormat="0" applyFont="1" applyFill="0" applyBorder="1" applyAlignment="1" applyProtection="0">
      <alignment vertical="bottom"/>
    </xf>
    <xf numFmtId="1" fontId="71" borderId="110" applyNumberFormat="1" applyFont="1" applyFill="0" applyBorder="1" applyAlignment="1" applyProtection="0">
      <alignment vertical="bottom"/>
    </xf>
    <xf numFmtId="1" fontId="69" borderId="18" applyNumberFormat="1" applyFont="1" applyFill="0" applyBorder="1" applyAlignment="1" applyProtection="0">
      <alignment vertical="bottom"/>
    </xf>
    <xf numFmtId="1" fontId="70" borderId="18" applyNumberFormat="1" applyFont="1" applyFill="0" applyBorder="1" applyAlignment="1" applyProtection="0">
      <alignment horizontal="center" vertical="bottom"/>
    </xf>
    <xf numFmtId="1" fontId="71" borderId="18" applyNumberFormat="1" applyFont="1" applyFill="0" applyBorder="1" applyAlignment="1" applyProtection="0">
      <alignment vertical="bottom"/>
    </xf>
    <xf numFmtId="1" fontId="70" borderId="3" applyNumberFormat="1" applyFont="1" applyFill="0" applyBorder="1" applyAlignment="1" applyProtection="0">
      <alignment horizontal="center" vertical="bottom"/>
    </xf>
    <xf numFmtId="59" fontId="69" fillId="4" borderId="18" applyNumberFormat="1" applyFont="1" applyFill="1" applyBorder="1" applyAlignment="1" applyProtection="0">
      <alignment vertical="bottom"/>
    </xf>
    <xf numFmtId="59" fontId="69" fillId="4" borderId="41" applyNumberFormat="1" applyFont="1" applyFill="1" applyBorder="1" applyAlignment="1" applyProtection="0">
      <alignment vertical="bottom"/>
    </xf>
    <xf numFmtId="1" fontId="69" borderId="113" applyNumberFormat="1" applyFont="1" applyFill="0" applyBorder="1" applyAlignment="1" applyProtection="0">
      <alignment vertical="bottom"/>
    </xf>
    <xf numFmtId="0" fontId="4" borderId="114" applyNumberFormat="0" applyFont="1" applyFill="0" applyBorder="1" applyAlignment="1" applyProtection="0">
      <alignment vertical="bottom"/>
    </xf>
    <xf numFmtId="1" fontId="69" borderId="15" applyNumberFormat="1" applyFont="1" applyFill="0" applyBorder="1" applyAlignment="1" applyProtection="0">
      <alignment vertical="bottom"/>
    </xf>
    <xf numFmtId="1" fontId="71" borderId="1" applyNumberFormat="1" applyFont="1" applyFill="0" applyBorder="1" applyAlignment="1" applyProtection="0">
      <alignment vertical="bottom"/>
    </xf>
    <xf numFmtId="1" fontId="69" borderId="1" applyNumberFormat="1" applyFont="1" applyFill="0" applyBorder="1" applyAlignment="1" applyProtection="0">
      <alignment vertical="bottom"/>
    </xf>
    <xf numFmtId="59" fontId="69" fillId="4" borderId="1" applyNumberFormat="1" applyFont="1" applyFill="1" applyBorder="1" applyAlignment="1" applyProtection="0">
      <alignment vertical="bottom"/>
    </xf>
    <xf numFmtId="59" fontId="69" fillId="4" borderId="25" applyNumberFormat="1" applyFont="1" applyFill="1" applyBorder="1" applyAlignment="1" applyProtection="0">
      <alignment vertical="bottom"/>
    </xf>
    <xf numFmtId="1" fontId="69" borderId="19" applyNumberFormat="1" applyFont="1" applyFill="0" applyBorder="1" applyAlignment="1" applyProtection="0">
      <alignment vertical="bottom"/>
    </xf>
    <xf numFmtId="0" fontId="69" borderId="11" applyNumberFormat="1" applyFont="1" applyFill="0" applyBorder="1" applyAlignment="1" applyProtection="0">
      <alignment vertical="bottom"/>
    </xf>
    <xf numFmtId="62" fontId="71" fillId="17" borderId="3" applyNumberFormat="1" applyFont="1" applyFill="1" applyBorder="1" applyAlignment="1" applyProtection="0">
      <alignment horizontal="right" vertical="bottom"/>
    </xf>
    <xf numFmtId="1" fontId="69" borderId="115" applyNumberFormat="1" applyFont="1" applyFill="0" applyBorder="1" applyAlignment="1" applyProtection="0">
      <alignment vertical="bottom"/>
    </xf>
    <xf numFmtId="62" fontId="71" borderId="1" applyNumberFormat="1" applyFont="1" applyFill="0" applyBorder="1" applyAlignment="1" applyProtection="0">
      <alignment horizontal="right" vertical="bottom"/>
    </xf>
    <xf numFmtId="1" fontId="69" borderId="11" applyNumberFormat="1" applyFont="1" applyFill="0" applyBorder="1" applyAlignment="1" applyProtection="0">
      <alignment vertical="bottom"/>
    </xf>
    <xf numFmtId="59" fontId="69" borderId="1" applyNumberFormat="1" applyFont="1" applyFill="0" applyBorder="1" applyAlignment="1" applyProtection="0">
      <alignment vertical="bottom"/>
    </xf>
    <xf numFmtId="1" fontId="69" borderId="1" applyNumberFormat="1" applyFont="1" applyFill="0" applyBorder="1" applyAlignment="1" applyProtection="0">
      <alignment horizontal="right" vertical="bottom"/>
    </xf>
    <xf numFmtId="0" fontId="71" fillId="17" borderId="3" applyNumberFormat="0" applyFont="1" applyFill="1" applyBorder="1" applyAlignment="1" applyProtection="0">
      <alignment horizontal="right" vertical="bottom"/>
    </xf>
    <xf numFmtId="62" fontId="30" fillId="17" borderId="3" applyNumberFormat="1" applyFont="1" applyFill="1" applyBorder="1" applyAlignment="1" applyProtection="0">
      <alignment vertical="bottom" wrapText="1"/>
    </xf>
    <xf numFmtId="0" fontId="71" fillId="17" borderId="3" applyNumberFormat="0" applyFont="1" applyFill="1" applyBorder="1" applyAlignment="1" applyProtection="0">
      <alignment vertical="bottom"/>
    </xf>
    <xf numFmtId="62" fontId="71" borderId="1" applyNumberFormat="1" applyFont="1" applyFill="0" applyBorder="1" applyAlignment="1" applyProtection="0">
      <alignment vertical="bottom"/>
    </xf>
    <xf numFmtId="62" fontId="71" fillId="17" borderId="3" applyNumberFormat="1" applyFont="1" applyFill="1" applyBorder="1" applyAlignment="1" applyProtection="0">
      <alignment vertical="bottom"/>
    </xf>
    <xf numFmtId="0" fontId="73" fillId="10" borderId="11" applyNumberFormat="1" applyFont="1" applyFill="1" applyBorder="1" applyAlignment="1" applyProtection="0">
      <alignment vertical="bottom"/>
    </xf>
    <xf numFmtId="62" fontId="74" fillId="10" borderId="3" applyNumberFormat="1" applyFont="1" applyFill="1" applyBorder="1" applyAlignment="1" applyProtection="0">
      <alignment horizontal="right" vertical="bottom"/>
    </xf>
    <xf numFmtId="1" fontId="73" borderId="1" applyNumberFormat="1" applyFont="1" applyFill="0" applyBorder="1" applyAlignment="1" applyProtection="0">
      <alignment vertical="bottom"/>
    </xf>
    <xf numFmtId="62" fontId="74" borderId="1" applyNumberFormat="1" applyFont="1" applyFill="0" applyBorder="1" applyAlignment="1" applyProtection="0">
      <alignment horizontal="right" vertical="bottom"/>
    </xf>
    <xf numFmtId="1" fontId="73" fillId="10" borderId="11" applyNumberFormat="1" applyFont="1" applyFill="1" applyBorder="1" applyAlignment="1" applyProtection="0">
      <alignment vertical="bottom"/>
    </xf>
    <xf numFmtId="1" fontId="69" borderId="116" applyNumberFormat="1" applyFont="1" applyFill="0" applyBorder="1" applyAlignment="1" applyProtection="0">
      <alignment vertical="bottom"/>
    </xf>
    <xf numFmtId="1" fontId="69" borderId="117" applyNumberFormat="1" applyFont="1" applyFill="0" applyBorder="1" applyAlignment="1" applyProtection="0">
      <alignment vertical="bottom"/>
    </xf>
    <xf numFmtId="1" fontId="69" borderId="118" applyNumberFormat="1" applyFont="1" applyFill="0" applyBorder="1" applyAlignment="1" applyProtection="0">
      <alignment vertical="bottom"/>
    </xf>
    <xf numFmtId="1" fontId="69" borderId="119" applyNumberFormat="1" applyFont="1" applyFill="0" applyBorder="1" applyAlignment="1" applyProtection="0">
      <alignment vertical="bottom"/>
    </xf>
    <xf numFmtId="0" fontId="4" borderId="120" applyNumberFormat="0" applyFont="1" applyFill="0" applyBorder="1" applyAlignment="1" applyProtection="0">
      <alignment vertical="bottom"/>
    </xf>
    <xf numFmtId="0" fontId="4" borderId="121" applyNumberFormat="0" applyFont="1" applyFill="0" applyBorder="1" applyAlignment="1" applyProtection="0">
      <alignment vertical="bottom"/>
    </xf>
    <xf numFmtId="59" fontId="69" borderId="2" applyNumberFormat="1" applyFont="1" applyFill="0" applyBorder="1" applyAlignment="1" applyProtection="0">
      <alignment vertical="bottom"/>
    </xf>
    <xf numFmtId="1" fontId="75" fillId="4" borderId="8" applyNumberFormat="1" applyFont="1" applyFill="1" applyBorder="1" applyAlignment="1" applyProtection="0">
      <alignment vertical="bottom"/>
    </xf>
    <xf numFmtId="1" fontId="75" fillId="4" borderId="15" applyNumberFormat="1" applyFont="1" applyFill="1" applyBorder="1" applyAlignment="1" applyProtection="0">
      <alignment vertical="bottom"/>
    </xf>
    <xf numFmtId="1" fontId="75" fillId="4" borderId="9" applyNumberFormat="1" applyFont="1" applyFill="1" applyBorder="1" applyAlignment="1" applyProtection="0">
      <alignment vertical="bottom"/>
    </xf>
    <xf numFmtId="1" fontId="75" fillId="4" borderId="6" applyNumberFormat="1" applyFont="1" applyFill="1" applyBorder="1" applyAlignment="1" applyProtection="0">
      <alignment vertical="bottom"/>
    </xf>
    <xf numFmtId="1" fontId="75" fillId="4" borderId="1" applyNumberFormat="1" applyFont="1" applyFill="1" applyBorder="1" applyAlignment="1" applyProtection="0">
      <alignment vertical="bottom"/>
    </xf>
    <xf numFmtId="0" fontId="76" fillId="4" borderId="1" applyNumberFormat="1" applyFont="1" applyFill="1" applyBorder="1" applyAlignment="1" applyProtection="0">
      <alignment vertical="bottom"/>
    </xf>
    <xf numFmtId="1" fontId="76" fillId="4" borderId="1" applyNumberFormat="1" applyFont="1" applyFill="1" applyBorder="1" applyAlignment="1" applyProtection="0">
      <alignment vertical="bottom"/>
    </xf>
    <xf numFmtId="1" fontId="75" fillId="4" borderId="11" applyNumberFormat="1" applyFont="1" applyFill="1" applyBorder="1" applyAlignment="1" applyProtection="0">
      <alignment vertical="bottom"/>
    </xf>
    <xf numFmtId="0" fontId="75" fillId="4" borderId="1" applyNumberFormat="1" applyFont="1" applyFill="1" applyBorder="1" applyAlignment="1" applyProtection="0">
      <alignment vertical="bottom"/>
    </xf>
    <xf numFmtId="64" fontId="75" fillId="4" borderId="2" applyNumberFormat="1" applyFont="1" applyFill="1" applyBorder="1" applyAlignment="1" applyProtection="0">
      <alignment vertical="bottom"/>
    </xf>
    <xf numFmtId="1" fontId="75" fillId="4" borderId="1" applyNumberFormat="1" applyFont="1" applyFill="1" applyBorder="1" applyAlignment="1" applyProtection="0">
      <alignment horizontal="center" vertical="bottom"/>
    </xf>
    <xf numFmtId="64" fontId="75" fillId="4" borderId="1" applyNumberFormat="1" applyFont="1" applyFill="1" applyBorder="1" applyAlignment="1" applyProtection="0">
      <alignment vertical="bottom"/>
    </xf>
    <xf numFmtId="1" fontId="75" fillId="13" borderId="3" applyNumberFormat="1" applyFont="1" applyFill="1" applyBorder="1" applyAlignment="1" applyProtection="0">
      <alignment horizontal="right" vertical="bottom"/>
    </xf>
    <xf numFmtId="0" fontId="75" fillId="13" borderId="3" applyNumberFormat="1" applyFont="1" applyFill="1" applyBorder="1" applyAlignment="1" applyProtection="0">
      <alignment vertical="bottom"/>
    </xf>
    <xf numFmtId="0" fontId="77" fillId="4" borderId="6" applyNumberFormat="1" applyFont="1" applyFill="1" applyBorder="1" applyAlignment="1" applyProtection="0">
      <alignment horizontal="center" vertical="bottom"/>
    </xf>
    <xf numFmtId="0" fontId="77" fillId="4" borderId="1" applyNumberFormat="1" applyFont="1" applyFill="1" applyBorder="1" applyAlignment="1" applyProtection="0">
      <alignment horizontal="right" vertical="bottom"/>
    </xf>
    <xf numFmtId="1" fontId="77" fillId="4" borderId="1" applyNumberFormat="1" applyFont="1" applyFill="1" applyBorder="1" applyAlignment="1" applyProtection="0">
      <alignment horizontal="right" vertical="bottom"/>
    </xf>
    <xf numFmtId="0" fontId="75" fillId="4" borderId="1" applyNumberFormat="1" applyFont="1" applyFill="1" applyBorder="1" applyAlignment="1" applyProtection="0">
      <alignment horizontal="center" vertical="bottom"/>
    </xf>
    <xf numFmtId="1" fontId="75" fillId="4" borderId="6" applyNumberFormat="1" applyFont="1" applyFill="1" applyBorder="1" applyAlignment="1" applyProtection="0">
      <alignment horizontal="center" vertical="bottom"/>
    </xf>
    <xf numFmtId="0" fontId="75" fillId="4" borderId="6" applyNumberFormat="1" applyFont="1" applyFill="1" applyBorder="1" applyAlignment="1" applyProtection="0">
      <alignment vertical="bottom"/>
    </xf>
    <xf numFmtId="59" fontId="75" fillId="4" borderId="1" applyNumberFormat="1" applyFont="1" applyFill="1" applyBorder="1" applyAlignment="1" applyProtection="0">
      <alignment vertical="bottom"/>
    </xf>
    <xf numFmtId="0" fontId="75" fillId="4" borderId="6" applyNumberFormat="1" applyFont="1" applyFill="1" applyBorder="1" applyAlignment="1" applyProtection="0">
      <alignment horizontal="center" vertical="bottom"/>
    </xf>
    <xf numFmtId="61" fontId="75" fillId="4" borderId="1" applyNumberFormat="1" applyFont="1" applyFill="1" applyBorder="1" applyAlignment="1" applyProtection="0">
      <alignment horizontal="center" vertical="bottom"/>
    </xf>
    <xf numFmtId="9" fontId="75" fillId="4" borderId="1" applyNumberFormat="1" applyFont="1" applyFill="1" applyBorder="1" applyAlignment="1" applyProtection="0">
      <alignment horizontal="center" vertical="bottom"/>
    </xf>
    <xf numFmtId="9" fontId="75" fillId="4" borderId="6" applyNumberFormat="1" applyFont="1" applyFill="1" applyBorder="1" applyAlignment="1" applyProtection="0">
      <alignment vertical="bottom"/>
    </xf>
    <xf numFmtId="9" fontId="75" fillId="4" borderId="1" applyNumberFormat="1" applyFont="1" applyFill="1" applyBorder="1" applyAlignment="1" applyProtection="0">
      <alignment vertical="bottom"/>
    </xf>
    <xf numFmtId="61" fontId="75" fillId="4" borderId="1" applyNumberFormat="1" applyFont="1" applyFill="1" applyBorder="1" applyAlignment="1" applyProtection="0">
      <alignment vertical="bottom"/>
    </xf>
    <xf numFmtId="61" fontId="21" fillId="4" borderId="1" applyNumberFormat="1" applyFont="1" applyFill="1" applyBorder="1" applyAlignment="1" applyProtection="0">
      <alignment vertical="bottom"/>
    </xf>
    <xf numFmtId="59" fontId="75" fillId="4" borderId="2" applyNumberFormat="1" applyFont="1" applyFill="1" applyBorder="1" applyAlignment="1" applyProtection="0">
      <alignment vertical="bottom"/>
    </xf>
    <xf numFmtId="1" fontId="75" fillId="4" borderId="2" applyNumberFormat="1" applyFont="1" applyFill="1" applyBorder="1" applyAlignment="1" applyProtection="0">
      <alignment vertical="bottom"/>
    </xf>
    <xf numFmtId="59" fontId="75" fillId="4" borderId="21" applyNumberFormat="1" applyFont="1" applyFill="1" applyBorder="1" applyAlignment="1" applyProtection="0">
      <alignment vertical="bottom"/>
    </xf>
    <xf numFmtId="10" fontId="75" fillId="4" borderId="1" applyNumberFormat="1" applyFont="1" applyFill="1" applyBorder="1" applyAlignment="1" applyProtection="0">
      <alignment vertical="bottom"/>
    </xf>
    <xf numFmtId="59" fontId="75" fillId="4" borderId="15" applyNumberFormat="1" applyFont="1" applyFill="1" applyBorder="1" applyAlignment="1" applyProtection="0">
      <alignment vertical="bottom"/>
    </xf>
    <xf numFmtId="0" fontId="78" fillId="4" borderId="1" applyNumberFormat="1" applyFont="1" applyFill="1" applyBorder="1" applyAlignment="1" applyProtection="0">
      <alignment vertical="bottom"/>
    </xf>
    <xf numFmtId="0" fontId="75" fillId="4" borderId="11" applyNumberFormat="1" applyFont="1" applyFill="1" applyBorder="1" applyAlignment="1" applyProtection="0">
      <alignment vertical="bottom"/>
    </xf>
    <xf numFmtId="0" fontId="75" fillId="13" borderId="20" applyNumberFormat="1" applyFont="1" applyFill="1" applyBorder="1" applyAlignment="1" applyProtection="0">
      <alignment vertical="bottom"/>
    </xf>
    <xf numFmtId="1" fontId="75" fillId="13" borderId="21" applyNumberFormat="1" applyFont="1" applyFill="1" applyBorder="1" applyAlignment="1" applyProtection="0">
      <alignment vertical="bottom"/>
    </xf>
    <xf numFmtId="1" fontId="75" fillId="13" borderId="22" applyNumberFormat="1" applyFont="1" applyFill="1" applyBorder="1" applyAlignment="1" applyProtection="0">
      <alignment vertical="bottom"/>
    </xf>
    <xf numFmtId="1" fontId="75" fillId="4" borderId="1" applyNumberFormat="1" applyFont="1" applyFill="1" applyBorder="1" applyAlignment="1" applyProtection="0">
      <alignment horizontal="left" vertical="bottom"/>
    </xf>
    <xf numFmtId="1" fontId="75" fillId="4" borderId="11" applyNumberFormat="1" applyFont="1" applyFill="1" applyBorder="1" applyAlignment="1" applyProtection="0">
      <alignment horizontal="left" vertical="bottom"/>
    </xf>
    <xf numFmtId="73" fontId="75" fillId="13" borderId="3" applyNumberFormat="1" applyFont="1" applyFill="1" applyBorder="1" applyAlignment="1" applyProtection="0">
      <alignment vertical="bottom"/>
    </xf>
    <xf numFmtId="0" fontId="75" fillId="4" borderId="10" applyNumberFormat="1" applyFont="1" applyFill="1" applyBorder="1" applyAlignment="1" applyProtection="0">
      <alignment vertical="bottom"/>
    </xf>
    <xf numFmtId="1" fontId="75" fillId="4" borderId="21" applyNumberFormat="1" applyFont="1" applyFill="1" applyBorder="1" applyAlignment="1" applyProtection="0">
      <alignment vertical="bottom"/>
    </xf>
    <xf numFmtId="0" fontId="79" fillId="4" borderId="1" applyNumberFormat="1" applyFont="1" applyFill="1" applyBorder="1" applyAlignment="1" applyProtection="0">
      <alignment vertical="bottom"/>
    </xf>
    <xf numFmtId="79" fontId="75" fillId="13" borderId="3" applyNumberFormat="1" applyFont="1" applyFill="1" applyBorder="1" applyAlignment="1" applyProtection="0">
      <alignment horizontal="left" vertical="bottom"/>
    </xf>
    <xf numFmtId="79" fontId="75" fillId="4" borderId="6" applyNumberFormat="1" applyFont="1" applyFill="1" applyBorder="1" applyAlignment="1" applyProtection="0">
      <alignment vertical="bottom"/>
    </xf>
    <xf numFmtId="79" fontId="75" fillId="4" borderId="1" applyNumberFormat="1" applyFont="1" applyFill="1" applyBorder="1" applyAlignment="1" applyProtection="0">
      <alignment vertical="bottom"/>
    </xf>
    <xf numFmtId="79" fontId="77" fillId="4" borderId="1" applyNumberFormat="1" applyFont="1" applyFill="1" applyBorder="1" applyAlignment="1" applyProtection="0">
      <alignment vertical="bottom"/>
    </xf>
    <xf numFmtId="1" fontId="21" fillId="4" borderId="11" applyNumberFormat="1" applyFont="1" applyFill="1" applyBorder="1" applyAlignment="1" applyProtection="0">
      <alignment vertical="bottom"/>
    </xf>
    <xf numFmtId="79" fontId="75" fillId="4" borderId="13" applyNumberFormat="1" applyFont="1" applyFill="1" applyBorder="1" applyAlignment="1" applyProtection="0">
      <alignment vertical="bottom"/>
    </xf>
    <xf numFmtId="79" fontId="75" fillId="4" borderId="1" applyNumberFormat="1" applyFont="1" applyFill="1" applyBorder="1" applyAlignment="1" applyProtection="0">
      <alignment horizontal="center" vertical="bottom"/>
    </xf>
    <xf numFmtId="1" fontId="75" fillId="4" borderId="1" applyNumberFormat="1" applyFont="1" applyFill="1" applyBorder="1" applyAlignment="1" applyProtection="0">
      <alignment horizontal="right" vertical="bottom"/>
    </xf>
    <xf numFmtId="0" fontId="75" fillId="4" borderId="21" applyNumberFormat="1" applyFont="1" applyFill="1" applyBorder="1" applyAlignment="1" applyProtection="0">
      <alignment vertical="bottom"/>
    </xf>
    <xf numFmtId="79" fontId="75" fillId="4" borderId="21" applyNumberFormat="1" applyFont="1" applyFill="1" applyBorder="1" applyAlignment="1" applyProtection="0">
      <alignment vertical="bottom"/>
    </xf>
    <xf numFmtId="0" fontId="75" fillId="4" borderId="1" applyNumberFormat="1" applyFont="1" applyFill="1" applyBorder="1" applyAlignment="1" applyProtection="0">
      <alignment horizontal="left" vertical="bottom"/>
    </xf>
    <xf numFmtId="73" fontId="75" fillId="4" borderId="1" applyNumberFormat="1" applyFont="1" applyFill="1" applyBorder="1" applyAlignment="1" applyProtection="0">
      <alignment horizontal="right" vertical="bottom"/>
    </xf>
    <xf numFmtId="1" fontId="75" fillId="4" borderId="13" applyNumberFormat="1" applyFont="1" applyFill="1" applyBorder="1" applyAlignment="1" applyProtection="0">
      <alignment vertical="bottom"/>
    </xf>
    <xf numFmtId="1" fontId="75" fillId="4" borderId="14" applyNumberFormat="1" applyFont="1" applyFill="1" applyBorder="1" applyAlignment="1" applyProtection="0">
      <alignment vertical="bottom"/>
    </xf>
    <xf numFmtId="1" fontId="75" fillId="4" borderId="98" applyNumberFormat="1" applyFont="1" applyFill="1" applyBorder="1" applyAlignment="1" applyProtection="0">
      <alignment vertical="bottom"/>
    </xf>
    <xf numFmtId="1" fontId="75" fillId="4" borderId="19" applyNumberFormat="1" applyFont="1" applyFill="1" applyBorder="1" applyAlignment="1" applyProtection="0">
      <alignment vertical="bottom"/>
    </xf>
    <xf numFmtId="0" fontId="75" fillId="4" borderId="1" applyNumberFormat="1" applyFont="1" applyFill="1" applyBorder="1" applyAlignment="1" applyProtection="0">
      <alignment horizontal="right" vertical="bottom"/>
    </xf>
    <xf numFmtId="1" fontId="21" borderId="1" applyNumberFormat="1" applyFont="1" applyFill="0" applyBorder="1" applyAlignment="1" applyProtection="0">
      <alignment horizontal="right" vertical="bottom"/>
    </xf>
    <xf numFmtId="0" fontId="69" borderId="1" applyNumberFormat="1" applyFont="1" applyFill="0" applyBorder="1" applyAlignment="1" applyProtection="0">
      <alignment vertical="bottom"/>
    </xf>
    <xf numFmtId="0" fontId="71" borderId="1" applyNumberFormat="1" applyFont="1" applyFill="0" applyBorder="1" applyAlignment="1" applyProtection="0">
      <alignment vertical="bottom"/>
    </xf>
    <xf numFmtId="1" fontId="75" fillId="4" borderId="97" applyNumberFormat="1" applyFont="1" applyFill="1" applyBorder="1" applyAlignment="1" applyProtection="0">
      <alignment vertical="bottom"/>
    </xf>
    <xf numFmtId="1" fontId="21" fillId="4" borderId="6" applyNumberFormat="1" applyFont="1" applyFill="1" applyBorder="1" applyAlignment="1" applyProtection="0">
      <alignment vertical="bottom"/>
    </xf>
    <xf numFmtId="0" fontId="4" borderId="98" applyNumberFormat="0" applyFont="1" applyFill="0" applyBorder="1" applyAlignment="1" applyProtection="0">
      <alignment vertical="bottom"/>
    </xf>
    <xf numFmtId="59" fontId="69" borderId="15" applyNumberFormat="1" applyFont="1" applyFill="0" applyBorder="1" applyAlignment="1" applyProtection="0">
      <alignment vertical="bottom"/>
    </xf>
    <xf numFmtId="60" fontId="75" fillId="4" borderId="19" applyNumberFormat="1" applyFont="1" applyFill="1" applyBorder="1" applyAlignment="1" applyProtection="0">
      <alignment vertical="bottom"/>
    </xf>
    <xf numFmtId="9" fontId="75" fillId="4" borderId="19" applyNumberFormat="1" applyFont="1" applyFill="1" applyBorder="1" applyAlignment="1" applyProtection="0">
      <alignment vertical="bottom"/>
    </xf>
    <xf numFmtId="0" fontId="75" fillId="4" borderId="19" applyNumberFormat="1" applyFont="1" applyFill="1" applyBorder="1" applyAlignment="1" applyProtection="0">
      <alignment horizontal="right" vertical="bottom"/>
    </xf>
    <xf numFmtId="0" fontId="75" fillId="4" borderId="19" applyNumberFormat="1" applyFont="1" applyFill="1" applyBorder="1" applyAlignment="1" applyProtection="0">
      <alignment vertical="bottom"/>
    </xf>
    <xf numFmtId="14" fontId="75" fillId="4" borderId="19" applyNumberFormat="1" applyFont="1" applyFill="1" applyBorder="1" applyAlignment="1" applyProtection="0">
      <alignment vertical="bottom"/>
    </xf>
    <xf numFmtId="59" fontId="71" borderId="1" applyNumberFormat="1" applyFont="1" applyFill="0" applyBorder="1" applyAlignment="1" applyProtection="0">
      <alignment vertical="bottom"/>
    </xf>
    <xf numFmtId="59" fontId="69" borderId="49" applyNumberFormat="1" applyFont="1" applyFill="0" applyBorder="1" applyAlignment="1" applyProtection="0">
      <alignment vertical="bottom"/>
    </xf>
    <xf numFmtId="1" fontId="71" borderId="49" applyNumberFormat="1" applyFont="1" applyFill="0" applyBorder="1" applyAlignment="1" applyProtection="0">
      <alignment vertical="bottom"/>
    </xf>
    <xf numFmtId="0" fontId="4" applyNumberFormat="1" applyFont="1" applyFill="0" applyBorder="0" applyAlignment="1" applyProtection="0">
      <alignment vertical="bottom"/>
    </xf>
    <xf numFmtId="0" fontId="66" applyNumberFormat="1" applyFont="1" applyFill="0" applyBorder="0" applyAlignment="1" applyProtection="0">
      <alignment vertical="bottom"/>
    </xf>
    <xf numFmtId="0" fontId="66" borderId="51" applyNumberFormat="1" applyFont="1" applyFill="0" applyBorder="1" applyAlignment="1" applyProtection="0">
      <alignment vertical="bottom"/>
    </xf>
    <xf numFmtId="59" fontId="66" borderId="51" applyNumberFormat="1" applyFont="1" applyFill="0" applyBorder="1" applyAlignment="1" applyProtection="0">
      <alignment horizontal="center" vertical="bottom"/>
    </xf>
    <xf numFmtId="59" fontId="66" borderId="51" applyNumberFormat="1" applyFont="1" applyFill="0" applyBorder="1" applyAlignment="1" applyProtection="0">
      <alignment vertical="bottom"/>
    </xf>
    <xf numFmtId="0" fontId="66" borderId="51" applyNumberFormat="1" applyFont="1" applyFill="0" applyBorder="1" applyAlignment="1" applyProtection="0">
      <alignment horizontal="center" vertical="bottom"/>
    </xf>
    <xf numFmtId="72" fontId="66" borderId="51" applyNumberFormat="1" applyFont="1" applyFill="0" applyBorder="1" applyAlignment="1" applyProtection="0">
      <alignment horizontal="center" vertical="bottom"/>
    </xf>
    <xf numFmtId="9" fontId="66" borderId="51" applyNumberFormat="1" applyFont="1" applyFill="0" applyBorder="1" applyAlignment="1" applyProtection="0">
      <alignment horizontal="center" vertical="bottom"/>
    </xf>
    <xf numFmtId="72" fontId="66" borderId="51" applyNumberFormat="1" applyFont="1" applyFill="0" applyBorder="1" applyAlignment="1" applyProtection="0">
      <alignment vertical="bottom"/>
    </xf>
    <xf numFmtId="1" fontId="80" borderId="51" applyNumberFormat="1" applyFont="1" applyFill="0" applyBorder="1" applyAlignment="1" applyProtection="0">
      <alignment vertical="bottom"/>
    </xf>
  </cellXfs>
  <cellStyles count="1">
    <cellStyle name="Normal" xfId="0" builtinId="0"/>
  </cellStyles>
  <dxfs count="3">
    <dxf>
      <font>
        <color rgb="ff000000"/>
      </font>
    </dxf>
    <dxf>
      <font>
        <color rgb="ff000000"/>
      </font>
    </dxf>
    <dxf>
      <font>
        <color rgb="ff000000"/>
      </font>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808080"/>
      <rgbColor rgb="ffff0000"/>
      <rgbColor rgb="ffaaaaaa"/>
      <rgbColor rgb="00000000"/>
      <rgbColor rgb="ff00ccff"/>
      <rgbColor rgb="ffffff00"/>
      <rgbColor rgb="fffabf8f"/>
      <rgbColor rgb="ffbdc0bf"/>
      <rgbColor rgb="ffdbdbdb"/>
      <rgbColor rgb="ff3366ff"/>
      <rgbColor rgb="ff000080"/>
      <rgbColor rgb="ff003366"/>
      <rgbColor rgb="ffc0c0c0"/>
      <rgbColor rgb="ffb8cce4"/>
      <rgbColor rgb="ffd99594"/>
      <rgbColor rgb="ffff00ff"/>
      <rgbColor rgb="ffffffcc"/>
      <rgbColor rgb="ffa4a4a4"/>
      <rgbColor rgb="ff800000"/>
      <rgbColor rgb="ff929292"/>
      <rgbColor rgb="ff00ff00"/>
      <rgbColor rgb="ffff8080"/>
      <rgbColor rgb="ffffff99"/>
      <rgbColor rgb="ff99ccff"/>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 Id="rId18" Type="http://schemas.openxmlformats.org/officeDocument/2006/relationships/worksheet" Target="worksheets/sheet15.xml"/><Relationship Id="rId19" Type="http://schemas.openxmlformats.org/officeDocument/2006/relationships/worksheet" Target="worksheets/sheet16.xml"/><Relationship Id="rId20" Type="http://schemas.openxmlformats.org/officeDocument/2006/relationships/worksheet" Target="worksheets/sheet17.xml"/><Relationship Id="rId21" Type="http://schemas.openxmlformats.org/officeDocument/2006/relationships/worksheet" Target="worksheets/sheet18.xml"/><Relationship Id="rId22" Type="http://schemas.openxmlformats.org/officeDocument/2006/relationships/worksheet" Target="worksheets/sheet19.xml"/><Relationship Id="rId23" Type="http://schemas.openxmlformats.org/officeDocument/2006/relationships/worksheet" Target="worksheets/sheet20.xml"/><Relationship Id="rId24" Type="http://schemas.openxmlformats.org/officeDocument/2006/relationships/worksheet" Target="worksheets/sheet21.xml"/><Relationship Id="rId25" Type="http://schemas.openxmlformats.org/officeDocument/2006/relationships/worksheet" Target="worksheets/sheet22.xml"/><Relationship Id="rId26" Type="http://schemas.openxmlformats.org/officeDocument/2006/relationships/worksheet" Target="worksheets/sheet23.xml"/><Relationship Id="rId27" Type="http://schemas.openxmlformats.org/officeDocument/2006/relationships/worksheet" Target="worksheets/sheet24.xml"/><Relationship Id="rId28" Type="http://schemas.openxmlformats.org/officeDocument/2006/relationships/worksheet" Target="worksheets/sheet25.xml"/><Relationship Id="rId29" Type="http://schemas.openxmlformats.org/officeDocument/2006/relationships/worksheet" Target="worksheets/sheet26.xml"/><Relationship Id="rId30" Type="http://schemas.openxmlformats.org/officeDocument/2006/relationships/worksheet" Target="worksheets/sheet27.xml"/><Relationship Id="rId31" Type="http://schemas.openxmlformats.org/officeDocument/2006/relationships/worksheet" Target="worksheets/sheet28.xml"/><Relationship Id="rId32" Type="http://schemas.openxmlformats.org/officeDocument/2006/relationships/worksheet" Target="worksheets/sheet29.xml"/><Relationship Id="rId33" Type="http://schemas.openxmlformats.org/officeDocument/2006/relationships/worksheet" Target="worksheets/sheet30.xml"/><Relationship Id="rId34" Type="http://schemas.openxmlformats.org/officeDocument/2006/relationships/worksheet" Target="worksheets/sheet31.xml"/><Relationship Id="rId35" Type="http://schemas.openxmlformats.org/officeDocument/2006/relationships/worksheet" Target="worksheets/sheet32.xml"/><Relationship Id="rId36" Type="http://schemas.openxmlformats.org/officeDocument/2006/relationships/worksheet" Target="worksheets/sheet33.xml"/><Relationship Id="rId37" Type="http://schemas.openxmlformats.org/officeDocument/2006/relationships/worksheet" Target="worksheets/sheet34.xml"/><Relationship Id="rId38" Type="http://schemas.openxmlformats.org/officeDocument/2006/relationships/worksheet" Target="worksheets/sheet35.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lvl="0">
              <a:defRPr b="1" i="0" strike="noStrike" sz="900" u="none">
                <a:solidFill>
                  <a:srgbClr val="000000"/>
                </a:solidFill>
                <a:effectLst/>
                <a:latin typeface="Arial"/>
              </a:defRPr>
            </a:pPr>
            <a:r>
              <a:rPr b="1" i="0" strike="noStrike" sz="900" u="none">
                <a:solidFill>
                  <a:srgbClr val="000000"/>
                </a:solidFill>
                <a:effectLst/>
                <a:latin typeface="Arial"/>
              </a:rPr>
              <a:t>Cumulative Cash Position</a:t>
            </a:r>
          </a:p>
        </c:rich>
      </c:tx>
      <c:layout>
        <c:manualLayout>
          <c:xMode val="edge"/>
          <c:yMode val="edge"/>
          <c:x val="0.377637"/>
          <c:y val="0.005"/>
          <c:w val="0.244726"/>
          <c:h val="0.104524"/>
        </c:manualLayout>
      </c:layout>
      <c:overlay val="1"/>
      <c:spPr>
        <a:noFill/>
        <a:effectLst/>
      </c:spPr>
    </c:title>
    <c:autoTitleDeleted val="1"/>
    <c:plotArea>
      <c:layout>
        <c:manualLayout>
          <c:layoutTarget val="inner"/>
          <c:xMode val="edge"/>
          <c:yMode val="edge"/>
          <c:x val="0.0999574"/>
          <c:y val="0.104524"/>
          <c:w val="0.897397"/>
          <c:h val="0.722261"/>
        </c:manualLayout>
      </c:layout>
      <c:lineChart>
        <c:grouping val="standard"/>
        <c:varyColors val="0"/>
        <c:ser>
          <c:idx val="0"/>
          <c:order val="0"/>
          <c:tx>
            <c:v>Series1</c:v>
          </c:tx>
          <c:spPr>
            <a:noFill/>
            <a:ln w="25400" cap="flat">
              <a:solidFill>
                <a:srgbClr val="800000"/>
              </a:solidFill>
              <a:prstDash val="solid"/>
              <a:bevel/>
            </a:ln>
            <a:effectLst/>
          </c:spPr>
          <c:marker>
            <c:symbol val="none"/>
            <c:size val="5"/>
            <c:spPr>
              <a:solidFill>
                <a:srgbClr val="000000">
                  <a:alpha val="0"/>
                </a:srgbClr>
              </a:solidFill>
              <a:ln w="25400" cap="flat">
                <a:solidFill>
                  <a:srgbClr val="800000"/>
                </a:solidFill>
                <a:prstDash val="solid"/>
                <a:bevel/>
              </a:ln>
              <a:effectLst/>
            </c:spPr>
          </c:marker>
          <c:dLbls>
            <c:txPr>
              <a:bodyPr/>
              <a:lstStyle/>
              <a:p>
                <a:pPr lvl="0">
                  <a:defRPr b="0" i="0" strike="noStrike" sz="1000" u="none">
                    <a:solidFill>
                      <a:srgbClr val="000000"/>
                    </a:solidFill>
                    <a:effectLst/>
                    <a:latin typeface="Arial"/>
                  </a:defRPr>
                </a:pPr>
                <a:r>
                  <a:rPr b="0" i="0" strike="noStrike" sz="1000" u="none">
                    <a:solidFill>
                      <a:srgbClr val="000000"/>
                    </a:solidFill>
                    <a:effectLst/>
                    <a:latin typeface="Arial"/>
                  </a:rPr>
                  <a:t/>
                </a:r>
              </a:p>
            </c:txPr>
            <c:dLblPos val="t"/>
            <c:showLegendKey val="0"/>
            <c:showVal val="0"/>
            <c:showCatName val="0"/>
            <c:showSerName val="0"/>
            <c:showPercent val="0"/>
            <c:showBubbleSize val="0"/>
            <c:showLeaderLines val="0"/>
          </c:dLbls>
          <c:cat>
            <c:strLit>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strLit>
          </c:cat>
          <c:val>
            <c:numRef>
              <c:f>'Graphs'!$B$12:$AE$12</c:f>
              <c:numCache>
                <c:ptCount val="30"/>
                <c:pt idx="0">
                  <c:v>0.783006</c:v>
                </c:pt>
                <c:pt idx="1">
                  <c:v>8.095003</c:v>
                </c:pt>
                <c:pt idx="2">
                  <c:v>16.457255</c:v>
                </c:pt>
                <c:pt idx="3">
                  <c:v>23.955727</c:v>
                </c:pt>
                <c:pt idx="4">
                  <c:v>32.567913</c:v>
                </c:pt>
                <c:pt idx="5">
                  <c:v>42.332329</c:v>
                </c:pt>
                <c:pt idx="6">
                  <c:v>52.921036</c:v>
                </c:pt>
                <c:pt idx="7">
                  <c:v>64.739288</c:v>
                </c:pt>
                <c:pt idx="8">
                  <c:v>77.828794</c:v>
                </c:pt>
                <c:pt idx="9">
                  <c:v>91.743991</c:v>
                </c:pt>
                <c:pt idx="10">
                  <c:v>107.014911</c:v>
                </c:pt>
                <c:pt idx="11">
                  <c:v>123.685833</c:v>
                </c:pt>
                <c:pt idx="12">
                  <c:v>141.193971</c:v>
                </c:pt>
                <c:pt idx="13">
                  <c:v>160.194534</c:v>
                </c:pt>
                <c:pt idx="14">
                  <c:v>180.736802</c:v>
                </c:pt>
                <c:pt idx="15">
                  <c:v>202.264140</c:v>
                </c:pt>
                <c:pt idx="16">
                  <c:v>225.434069</c:v>
                </c:pt>
                <c:pt idx="17">
                  <c:v>250.301331</c:v>
                </c:pt>
                <c:pt idx="18">
                  <c:v>276.068045</c:v>
                </c:pt>
                <c:pt idx="19">
                  <c:v>303.642182</c:v>
                </c:pt>
                <c:pt idx="20">
                  <c:v>333.081454</c:v>
                </c:pt>
                <c:pt idx="21">
                  <c:v>363.473189</c:v>
                </c:pt>
                <c:pt idx="22">
                  <c:v>395.851021</c:v>
                </c:pt>
                <c:pt idx="23">
                  <c:v>430.278181</c:v>
                </c:pt>
                <c:pt idx="24">
                  <c:v>465.724773</c:v>
                </c:pt>
                <c:pt idx="25">
                  <c:v>503.352676</c:v>
                </c:pt>
                <c:pt idx="26">
                  <c:v>543.232248</c:v>
                </c:pt>
                <c:pt idx="27">
                  <c:v>583.974123</c:v>
                </c:pt>
                <c:pt idx="28">
                  <c:v>627.109730</c:v>
                </c:pt>
                <c:pt idx="29">
                  <c:v>672.592262</c:v>
                </c:pt>
              </c:numCache>
            </c:numRef>
          </c:val>
          <c:smooth val="0"/>
        </c:ser>
        <c:marker val="1"/>
        <c:axId val="0"/>
        <c:axId val="1"/>
      </c:lineChart>
      <c:catAx>
        <c:axId val="0"/>
        <c:scaling>
          <c:orientation val="minMax"/>
        </c:scaling>
        <c:delete val="0"/>
        <c:axPos val="b"/>
        <c:title>
          <c:tx>
            <c:rich>
              <a:bodyPr rot="0"/>
              <a:lstStyle/>
              <a:p>
                <a:pPr lvl="0">
                  <a:defRPr b="1" i="0" strike="noStrike" sz="800" u="none">
                    <a:solidFill>
                      <a:srgbClr val="000000"/>
                    </a:solidFill>
                    <a:effectLst/>
                    <a:latin typeface="Arial"/>
                  </a:defRPr>
                </a:pPr>
                <a:r>
                  <a:rPr b="1" i="0" strike="noStrike" sz="800" u="none">
                    <a:solidFill>
                      <a:srgbClr val="000000"/>
                    </a:solidFill>
                    <a:effectLst/>
                    <a:latin typeface="Arial"/>
                  </a:rPr>
                  <a:t>Years</a:t>
                </a:r>
              </a:p>
            </c:rich>
          </c:tx>
          <c:layout/>
          <c:overlay val="1"/>
        </c:title>
        <c:numFmt formatCode="General" sourceLinked="1"/>
        <c:majorTickMark val="out"/>
        <c:minorTickMark val="none"/>
        <c:tickLblPos val="low"/>
        <c:spPr>
          <a:ln w="12700" cap="flat">
            <a:solidFill>
              <a:srgbClr val="808080"/>
            </a:solidFill>
            <a:prstDash val="solid"/>
            <a:bevel/>
          </a:ln>
        </c:spPr>
        <c:txPr>
          <a:bodyPr rot="0"/>
          <a:lstStyle/>
          <a:p>
            <a:pPr lvl="0">
              <a:defRPr b="0" i="0" strike="noStrike" sz="1000" u="none">
                <a:solidFill>
                  <a:srgbClr val="000000"/>
                </a:solidFill>
                <a:effectLst/>
                <a:latin typeface="Arial"/>
              </a:defRPr>
            </a:pPr>
          </a:p>
        </c:txPr>
        <c:crossAx val="1"/>
        <c:crosses val="autoZero"/>
        <c:auto val="1"/>
        <c:lblAlgn val="ctr"/>
        <c:tickLblSkip val="2"/>
        <c:noMultiLvlLbl val="1"/>
      </c:catAx>
      <c:valAx>
        <c:axId val="1"/>
        <c:scaling>
          <c:orientation val="minMax"/>
        </c:scaling>
        <c:delete val="0"/>
        <c:axPos val="l"/>
        <c:majorGridlines>
          <c:spPr>
            <a:ln w="12700" cap="flat">
              <a:solidFill>
                <a:srgbClr val="000000"/>
              </a:solidFill>
              <a:prstDash val="solid"/>
              <a:bevel/>
            </a:ln>
          </c:spPr>
        </c:majorGridlines>
        <c:title>
          <c:tx>
            <c:rich>
              <a:bodyPr rot="-5400000"/>
              <a:lstStyle/>
              <a:p>
                <a:pPr lvl="0">
                  <a:defRPr b="1" i="0" strike="noStrike" sz="800" u="none">
                    <a:solidFill>
                      <a:srgbClr val="000000"/>
                    </a:solidFill>
                    <a:effectLst/>
                    <a:latin typeface="Arial"/>
                  </a:defRPr>
                </a:pPr>
                <a:r>
                  <a:rPr b="1" i="0" strike="noStrike" sz="800" u="none">
                    <a:solidFill>
                      <a:srgbClr val="000000"/>
                    </a:solidFill>
                    <a:effectLst/>
                    <a:latin typeface="Arial"/>
                  </a:rPr>
                  <a:t>£000's</a:t>
                </a:r>
              </a:p>
            </c:rich>
          </c:tx>
          <c:layout/>
          <c:overlay val="1"/>
        </c:title>
        <c:numFmt formatCode="General" sourceLinked="1"/>
        <c:majorTickMark val="out"/>
        <c:minorTickMark val="none"/>
        <c:tickLblPos val="nextTo"/>
        <c:spPr>
          <a:ln w="12700" cap="flat">
            <a:solidFill>
              <a:srgbClr val="808080"/>
            </a:solidFill>
            <a:prstDash val="solid"/>
            <a:bevel/>
          </a:ln>
        </c:spPr>
        <c:txPr>
          <a:bodyPr rot="0"/>
          <a:lstStyle/>
          <a:p>
            <a:pPr lvl="0">
              <a:defRPr b="0" i="0" strike="noStrike" sz="1000" u="none">
                <a:solidFill>
                  <a:srgbClr val="000000"/>
                </a:solidFill>
                <a:effectLst/>
                <a:latin typeface="Arial"/>
              </a:defRPr>
            </a:pPr>
          </a:p>
        </c:txPr>
        <c:crossAx val="0"/>
        <c:crosses val="autoZero"/>
        <c:crossBetween val="between"/>
        <c:majorUnit val="175"/>
        <c:minorUnit val="87.5"/>
      </c:valAx>
      <c:spPr>
        <a:gradFill flip="none" rotWithShape="1">
          <a:gsLst>
            <a:gs pos="0">
              <a:srgbClr val="C0C0C0"/>
            </a:gs>
            <a:gs pos="100000">
              <a:srgbClr val="A5A5A5"/>
            </a:gs>
          </a:gsLst>
          <a:lin ang="5400000" scaled="0"/>
        </a:gradFill>
        <a:ln w="12700" cap="flat">
          <a:solidFill>
            <a:srgbClr val="808080"/>
          </a:solidFill>
          <a:prstDash val="solid"/>
          <a:bevel/>
        </a:ln>
        <a:effectLst/>
      </c:spPr>
    </c:plotArea>
    <c:plotVisOnly val="1"/>
    <c:dispBlanksAs val="gap"/>
  </c:chart>
  <c:spPr>
    <a:solidFill>
      <a:srgbClr val="FFFFFF"/>
    </a:solidFill>
    <a:ln w="3175" cap="flat">
      <a:solidFill>
        <a:srgbClr val="000000"/>
      </a:solidFill>
      <a:prstDash val="solid"/>
      <a:beve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lvl="0">
              <a:defRPr b="1" i="0" strike="noStrike" sz="800" u="none">
                <a:solidFill>
                  <a:srgbClr val="000000"/>
                </a:solidFill>
                <a:effectLst/>
                <a:latin typeface="Arial"/>
              </a:defRPr>
            </a:pPr>
            <a:r>
              <a:rPr b="1" i="0" strike="noStrike" sz="800" u="none">
                <a:solidFill>
                  <a:srgbClr val="000000"/>
                </a:solidFill>
                <a:effectLst/>
                <a:latin typeface="Arial"/>
              </a:rPr>
              <a:t>OVERALL DEBT/CONTRIBUTION
(Debt Fully Repaid)</a:t>
            </a:r>
          </a:p>
        </c:rich>
      </c:tx>
      <c:layout>
        <c:manualLayout>
          <c:xMode val="edge"/>
          <c:yMode val="edge"/>
          <c:x val="0.355548"/>
          <c:y val="0.005"/>
          <c:w val="0.288904"/>
          <c:h val="0.153763"/>
        </c:manualLayout>
      </c:layout>
      <c:overlay val="1"/>
      <c:spPr>
        <a:noFill/>
        <a:effectLst/>
      </c:spPr>
    </c:title>
    <c:autoTitleDeleted val="1"/>
    <c:plotArea>
      <c:layout>
        <c:manualLayout>
          <c:layoutTarget val="inner"/>
          <c:xMode val="edge"/>
          <c:yMode val="edge"/>
          <c:x val="0.104064"/>
          <c:y val="0.153763"/>
          <c:w val="0.894786"/>
          <c:h val="0.675109"/>
        </c:manualLayout>
      </c:layout>
      <c:barChart>
        <c:barDir val="col"/>
        <c:grouping val="clustered"/>
        <c:varyColors val="0"/>
        <c:ser>
          <c:idx val="0"/>
          <c:order val="0"/>
          <c:tx>
            <c:v>Series1</c:v>
          </c:tx>
          <c:spPr>
            <a:solidFill>
              <a:srgbClr val="800000"/>
            </a:solidFill>
            <a:ln w="12700" cap="flat">
              <a:solidFill>
                <a:srgbClr val="000000"/>
              </a:solidFill>
              <a:prstDash val="solid"/>
              <a:bevel/>
            </a:ln>
            <a:effectLst/>
          </c:spPr>
          <c:invertIfNegative val="0"/>
          <c:dLbls>
            <c:txPr>
              <a:bodyPr/>
              <a:lstStyle/>
              <a:p>
                <a:pPr lvl="0">
                  <a:defRPr b="0" i="0" strike="noStrike" sz="800" u="none">
                    <a:solidFill>
                      <a:srgbClr val="000000"/>
                    </a:solidFill>
                    <a:effectLst/>
                    <a:latin typeface="Arial"/>
                  </a:defRPr>
                </a:pPr>
                <a:r>
                  <a:rPr b="0" i="0" strike="noStrike" sz="800" u="none">
                    <a:solidFill>
                      <a:srgbClr val="000000"/>
                    </a:solidFill>
                    <a:effectLst/>
                    <a:latin typeface="Arial"/>
                  </a:rPr>
                  <a:t/>
                </a:r>
              </a:p>
            </c:txPr>
            <c:dLblPos val="outEnd"/>
            <c:showLegendKey val="0"/>
            <c:showVal val="0"/>
            <c:showCatName val="0"/>
            <c:showSerName val="0"/>
            <c:showPercent val="0"/>
            <c:showBubbleSize val="0"/>
            <c:showLeaderLines val="0"/>
          </c:dLbls>
          <c:cat>
            <c:strLit>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strLit>
          </c:cat>
          <c:val>
            <c:numRef>
              <c:f>'Graphs'!$B$8:$AE$8</c:f>
              <c:numCache>
                <c:ptCount val="30"/>
                <c:pt idx="0">
                  <c:v>-520.544309</c:v>
                </c:pt>
                <c:pt idx="1">
                  <c:v>-510.163142</c:v>
                </c:pt>
                <c:pt idx="2">
                  <c:v>-498.593610</c:v>
                </c:pt>
                <c:pt idx="3">
                  <c:v>-487.743528</c:v>
                </c:pt>
                <c:pt idx="4">
                  <c:v>-475.628912</c:v>
                </c:pt>
                <c:pt idx="5">
                  <c:v>-462.204456</c:v>
                </c:pt>
                <c:pt idx="6">
                  <c:v>-447.791009</c:v>
                </c:pt>
                <c:pt idx="7">
                  <c:v>-431.975897</c:v>
                </c:pt>
                <c:pt idx="8">
                  <c:v>-414.709671</c:v>
                </c:pt>
                <c:pt idx="9">
                  <c:v>-396.429804</c:v>
                </c:pt>
                <c:pt idx="10">
                  <c:v>-376.597804</c:v>
                </c:pt>
                <c:pt idx="11">
                  <c:v>-355.160552</c:v>
                </c:pt>
                <c:pt idx="12">
                  <c:v>-332.671604</c:v>
                </c:pt>
                <c:pt idx="13">
                  <c:v>-308.466091</c:v>
                </c:pt>
                <c:pt idx="14">
                  <c:v>-282.484653</c:v>
                </c:pt>
                <c:pt idx="15">
                  <c:v>-255.273385</c:v>
                </c:pt>
                <c:pt idx="16">
                  <c:v>-226.163746</c:v>
                </c:pt>
                <c:pt idx="17">
                  <c:v>-195.089484</c:v>
                </c:pt>
                <c:pt idx="18">
                  <c:v>-162.836460</c:v>
                </c:pt>
                <c:pt idx="19">
                  <c:v>-128.484123</c:v>
                </c:pt>
                <c:pt idx="20">
                  <c:v>-91.961631</c:v>
                </c:pt>
                <c:pt idx="21">
                  <c:v>-54.167936</c:v>
                </c:pt>
                <c:pt idx="22">
                  <c:v>-14.055054</c:v>
                </c:pt>
                <c:pt idx="23">
                  <c:v>28.455236</c:v>
                </c:pt>
                <c:pt idx="24">
                  <c:v>72.348698</c:v>
                </c:pt>
                <c:pt idx="25">
                  <c:v>118.803581</c:v>
                </c:pt>
                <c:pt idx="26">
                  <c:v>167.907343</c:v>
                </c:pt>
                <c:pt idx="27">
                  <c:v>218.288498</c:v>
                </c:pt>
                <c:pt idx="28">
                  <c:v>271.497155</c:v>
                </c:pt>
                <c:pt idx="29">
                  <c:v>327.506017</c:v>
                </c:pt>
              </c:numCache>
            </c:numRef>
          </c:val>
        </c:ser>
        <c:gapWidth val="150"/>
        <c:overlap val="0"/>
        <c:axId val="0"/>
        <c:axId val="1"/>
      </c:barChart>
      <c:catAx>
        <c:axId val="0"/>
        <c:scaling>
          <c:orientation val="minMax"/>
        </c:scaling>
        <c:delete val="0"/>
        <c:axPos val="b"/>
        <c:title>
          <c:tx>
            <c:rich>
              <a:bodyPr rot="0"/>
              <a:lstStyle/>
              <a:p>
                <a:pPr lvl="0">
                  <a:defRPr b="1" i="0" strike="noStrike" sz="800" u="none">
                    <a:solidFill>
                      <a:srgbClr val="000000"/>
                    </a:solidFill>
                    <a:effectLst/>
                    <a:latin typeface="Arial"/>
                  </a:defRPr>
                </a:pPr>
                <a:r>
                  <a:rPr b="1" i="0" strike="noStrike" sz="800" u="none">
                    <a:solidFill>
                      <a:srgbClr val="000000"/>
                    </a:solidFill>
                    <a:effectLst/>
                    <a:latin typeface="Arial"/>
                  </a:rPr>
                  <a:t>Years</a:t>
                </a:r>
              </a:p>
            </c:rich>
          </c:tx>
          <c:layout/>
          <c:overlay val="1"/>
        </c:title>
        <c:numFmt formatCode="General" sourceLinked="1"/>
        <c:majorTickMark val="out"/>
        <c:minorTickMark val="none"/>
        <c:tickLblPos val="low"/>
        <c:spPr>
          <a:ln w="12700" cap="flat">
            <a:solidFill>
              <a:srgbClr val="808080"/>
            </a:solidFill>
            <a:prstDash val="solid"/>
            <a:bevel/>
          </a:ln>
        </c:spPr>
        <c:txPr>
          <a:bodyPr rot="0"/>
          <a:lstStyle/>
          <a:p>
            <a:pPr lvl="0">
              <a:defRPr b="0" i="0" strike="noStrike" sz="800" u="none">
                <a:solidFill>
                  <a:srgbClr val="000000"/>
                </a:solidFill>
                <a:effectLst/>
                <a:latin typeface="Arial"/>
              </a:defRPr>
            </a:pPr>
          </a:p>
        </c:txPr>
        <c:crossAx val="1"/>
        <c:crosses val="autoZero"/>
        <c:auto val="1"/>
        <c:lblAlgn val="ctr"/>
        <c:noMultiLvlLbl val="1"/>
      </c:catAx>
      <c:valAx>
        <c:axId val="1"/>
        <c:scaling>
          <c:orientation val="minMax"/>
        </c:scaling>
        <c:delete val="0"/>
        <c:axPos val="l"/>
        <c:majorGridlines>
          <c:spPr>
            <a:ln w="12700" cap="flat">
              <a:solidFill>
                <a:srgbClr val="000000"/>
              </a:solidFill>
              <a:prstDash val="solid"/>
              <a:bevel/>
            </a:ln>
          </c:spPr>
        </c:majorGridlines>
        <c:title>
          <c:tx>
            <c:rich>
              <a:bodyPr rot="-5400000"/>
              <a:lstStyle/>
              <a:p>
                <a:pPr lvl="0">
                  <a:defRPr b="1" i="0" strike="noStrike" sz="800" u="none">
                    <a:solidFill>
                      <a:srgbClr val="000000"/>
                    </a:solidFill>
                    <a:effectLst/>
                    <a:latin typeface="Arial"/>
                  </a:defRPr>
                </a:pPr>
                <a:r>
                  <a:rPr b="1" i="0" strike="noStrike" sz="800" u="none">
                    <a:solidFill>
                      <a:srgbClr val="000000"/>
                    </a:solidFill>
                    <a:effectLst/>
                    <a:latin typeface="Arial"/>
                  </a:rPr>
                  <a:t>£000's</a:t>
                </a:r>
              </a:p>
            </c:rich>
          </c:tx>
          <c:layout/>
          <c:overlay val="1"/>
        </c:title>
        <c:numFmt formatCode="General" sourceLinked="1"/>
        <c:majorTickMark val="out"/>
        <c:minorTickMark val="none"/>
        <c:tickLblPos val="nextTo"/>
        <c:spPr>
          <a:ln w="12700" cap="flat">
            <a:solidFill>
              <a:srgbClr val="808080"/>
            </a:solidFill>
            <a:prstDash val="solid"/>
            <a:bevel/>
          </a:ln>
        </c:spPr>
        <c:txPr>
          <a:bodyPr rot="0"/>
          <a:lstStyle/>
          <a:p>
            <a:pPr lvl="0">
              <a:defRPr b="0" i="0" strike="noStrike" sz="800" u="none">
                <a:solidFill>
                  <a:srgbClr val="000000"/>
                </a:solidFill>
                <a:effectLst/>
                <a:latin typeface="Arial"/>
              </a:defRPr>
            </a:pPr>
          </a:p>
        </c:txPr>
        <c:crossAx val="0"/>
        <c:crosses val="autoZero"/>
        <c:crossBetween val="between"/>
        <c:majorUnit val="262.5"/>
        <c:minorUnit val="131.25"/>
      </c:valAx>
      <c:spPr>
        <a:gradFill flip="none" rotWithShape="1">
          <a:gsLst>
            <a:gs pos="0">
              <a:srgbClr val="939393"/>
            </a:gs>
            <a:gs pos="50000">
              <a:srgbClr val="C0C0C0"/>
            </a:gs>
            <a:gs pos="100000">
              <a:srgbClr val="939393"/>
            </a:gs>
          </a:gsLst>
          <a:lin ang="0" scaled="0"/>
        </a:gradFill>
        <a:ln w="12700" cap="flat">
          <a:solidFill>
            <a:srgbClr val="808080"/>
          </a:solidFill>
          <a:prstDash val="solid"/>
          <a:bevel/>
        </a:ln>
        <a:effectLst/>
      </c:spPr>
    </c:plotArea>
    <c:plotVisOnly val="1"/>
    <c:dispBlanksAs val="gap"/>
  </c:chart>
  <c:spPr>
    <a:solidFill>
      <a:srgbClr val="FFFFFF"/>
    </a:solidFill>
    <a:ln w="3175" cap="flat">
      <a:solidFill>
        <a:srgbClr val="000000"/>
      </a:solidFill>
      <a:prstDash val="solid"/>
      <a:bevel/>
    </a:ln>
    <a:effectLst/>
  </c:spPr>
</c:chartSpace>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Relationships xmlns="http://schemas.openxmlformats.org/package/2006/relationships"><Relationship Id="rId1" Type="http://schemas.openxmlformats.org/officeDocument/2006/relationships/image" Target="../media/image2.jpeg"/><Relationship Id="rId2" Type="http://schemas.openxmlformats.org/officeDocument/2006/relationships/image" Target="../media/image1.jpeg"/></Relationships>

</file>

<file path=xl/drawings/_rels/drawing13.xml.rels><?xml version="1.0" encoding="UTF-8" standalone="yes"?><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1.jpeg"/></Relationships>

</file>

<file path=xl/drawings/_rels/drawing14.xml.rels><?xml version="1.0" encoding="UTF-8" standalone="yes"?><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1.jpeg"/></Relationships>

</file>

<file path=xl/drawings/_rels/drawing3.xml.rels><?xml version="1.0" encoding="UTF-8" standalone="yes"?><Relationships xmlns="http://schemas.openxmlformats.org/package/2006/relationships"><Relationship Id="rId1" Type="http://schemas.openxmlformats.org/officeDocument/2006/relationships/image" Target="../media/image1.jpeg"/></Relationships>

</file>

<file path=xl/drawings/_rels/drawing4.xml.rels><?xml version="1.0" encoding="UTF-8" standalone="yes"?><Relationships xmlns="http://schemas.openxmlformats.org/package/2006/relationships"><Relationship Id="rId1" Type="http://schemas.openxmlformats.org/officeDocument/2006/relationships/image" Target="../media/image1.jpeg"/></Relationships>

</file>

<file path=xl/drawings/_rels/drawing5.xml.rels><?xml version="1.0" encoding="UTF-8" standalone="yes"?><Relationships xmlns="http://schemas.openxmlformats.org/package/2006/relationships"><Relationship Id="rId1" Type="http://schemas.openxmlformats.org/officeDocument/2006/relationships/image" Target="../media/image1.jpeg"/></Relationships>

</file>

<file path=xl/drawings/_rels/drawing6.xml.rels><?xml version="1.0" encoding="UTF-8" standalone="yes"?><Relationships xmlns="http://schemas.openxmlformats.org/package/2006/relationships"><Relationship Id="rId1" Type="http://schemas.openxmlformats.org/officeDocument/2006/relationships/image" Target="../media/image1.jpeg"/></Relationships>

</file>

<file path=xl/drawings/_rels/drawing7.xml.rels><?xml version="1.0" encoding="UTF-8" standalone="yes"?><Relationships xmlns="http://schemas.openxmlformats.org/package/2006/relationships"><Relationship Id="rId1" Type="http://schemas.openxmlformats.org/officeDocument/2006/relationships/image" Target="../media/image2.jpeg"/><Relationship Id="rId2" Type="http://schemas.openxmlformats.org/officeDocument/2006/relationships/image" Target="../media/image1.jpeg"/></Relationships>

</file>

<file path=xl/drawings/_rels/drawing8.xml.rels><?xml version="1.0" encoding="UTF-8" standalone="yes"?><Relationships xmlns="http://schemas.openxmlformats.org/package/2006/relationships"><Relationship Id="rId1" Type="http://schemas.openxmlformats.org/officeDocument/2006/relationships/image" Target="../media/image1.jpeg"/></Relationships>

</file>

<file path=xl/drawings/_rels/drawing9.xml.rels><?xml version="1.0" encoding="UTF-8" standalone="yes"?><Relationships xmlns="http://schemas.openxmlformats.org/package/2006/relationships"><Relationship Id="rId1" Type="http://schemas.openxmlformats.org/officeDocument/2006/relationships/image" Target="../media/image1.jpe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3</xdr:col>
      <xdr:colOff>1504950</xdr:colOff>
      <xdr:row>0</xdr:row>
      <xdr:rowOff>171450</xdr:rowOff>
    </xdr:from>
    <xdr:to>
      <xdr:col>4</xdr:col>
      <xdr:colOff>100648</xdr:colOff>
      <xdr:row>6</xdr:row>
      <xdr:rowOff>0</xdr:rowOff>
    </xdr:to>
    <xdr:pic>
      <xdr:nvPicPr>
        <xdr:cNvPr id="2" name="image1.jpg"/>
        <xdr:cNvPicPr/>
      </xdr:nvPicPr>
      <xdr:blipFill>
        <a:blip r:embed="rId1">
          <a:extLst/>
        </a:blip>
        <a:stretch>
          <a:fillRect/>
        </a:stretch>
      </xdr:blipFill>
      <xdr:spPr>
        <a:xfrm>
          <a:off x="8896350" y="171450"/>
          <a:ext cx="1415099" cy="1066800"/>
        </a:xfrm>
        <a:prstGeom prst="rect">
          <a:avLst/>
        </a:prstGeom>
        <a:ln w="12700" cap="flat">
          <a:noFill/>
          <a:miter lim="400000"/>
        </a:ln>
        <a:effectLst/>
      </xdr:spPr>
    </xdr:pic>
    <xdr:clientData/>
  </xdr:twoCellAnchor>
</xdr:wsDr>
</file>

<file path=xl/drawings/drawing10.xml><?xml version="1.0" encoding="utf-8"?>
<xdr:wsDr xmlns:r="http://schemas.openxmlformats.org/officeDocument/2006/relationships" xmlns:a="http://schemas.openxmlformats.org/drawingml/2006/main" xmlns:xdr="http://schemas.openxmlformats.org/drawingml/2006/spreadsheetDrawing">
  <xdr:twoCellAnchor>
    <xdr:from>
      <xdr:col>11</xdr:col>
      <xdr:colOff>952500</xdr:colOff>
      <xdr:row>1</xdr:row>
      <xdr:rowOff>73025</xdr:rowOff>
    </xdr:from>
    <xdr:to>
      <xdr:col>12</xdr:col>
      <xdr:colOff>873760</xdr:colOff>
      <xdr:row>6</xdr:row>
      <xdr:rowOff>137158</xdr:rowOff>
    </xdr:to>
    <xdr:pic>
      <xdr:nvPicPr>
        <xdr:cNvPr id="32" name="image1.jpg"/>
        <xdr:cNvPicPr/>
      </xdr:nvPicPr>
      <xdr:blipFill>
        <a:blip r:embed="rId1">
          <a:extLst/>
        </a:blip>
        <a:stretch>
          <a:fillRect/>
        </a:stretch>
      </xdr:blipFill>
      <xdr:spPr>
        <a:xfrm>
          <a:off x="12128500" y="238125"/>
          <a:ext cx="937261" cy="889634"/>
        </a:xfrm>
        <a:prstGeom prst="rect">
          <a:avLst/>
        </a:prstGeom>
        <a:ln w="12700" cap="flat">
          <a:noFill/>
          <a:miter lim="400000"/>
        </a:ln>
        <a:effectLst/>
      </xdr:spPr>
    </xdr:pic>
    <xdr:clientData/>
  </xdr:twoCellAnchor>
</xdr:wsDr>
</file>

<file path=xl/drawings/drawing11.xml><?xml version="1.0" encoding="utf-8"?>
<xdr:wsDr xmlns:r="http://schemas.openxmlformats.org/officeDocument/2006/relationships" xmlns:a="http://schemas.openxmlformats.org/drawingml/2006/main" xmlns:xdr="http://schemas.openxmlformats.org/drawingml/2006/spreadsheetDrawing">
  <xdr:twoCellAnchor>
    <xdr:from>
      <xdr:col>11</xdr:col>
      <xdr:colOff>114300</xdr:colOff>
      <xdr:row>1</xdr:row>
      <xdr:rowOff>73025</xdr:rowOff>
    </xdr:from>
    <xdr:to>
      <xdr:col>12</xdr:col>
      <xdr:colOff>245109</xdr:colOff>
      <xdr:row>6</xdr:row>
      <xdr:rowOff>137158</xdr:rowOff>
    </xdr:to>
    <xdr:pic>
      <xdr:nvPicPr>
        <xdr:cNvPr id="34" name="image1.jpg"/>
        <xdr:cNvPicPr/>
      </xdr:nvPicPr>
      <xdr:blipFill>
        <a:blip r:embed="rId1">
          <a:extLst/>
        </a:blip>
        <a:stretch>
          <a:fillRect/>
        </a:stretch>
      </xdr:blipFill>
      <xdr:spPr>
        <a:xfrm>
          <a:off x="11290300" y="238125"/>
          <a:ext cx="1146810" cy="889634"/>
        </a:xfrm>
        <a:prstGeom prst="rect">
          <a:avLst/>
        </a:prstGeom>
        <a:ln w="12700" cap="flat">
          <a:noFill/>
          <a:miter lim="400000"/>
        </a:ln>
        <a:effectLst/>
      </xdr:spPr>
    </xdr:pic>
    <xdr:clientData/>
  </xdr:twoCellAnchor>
</xdr:wsDr>
</file>

<file path=xl/drawings/drawing12.xml><?xml version="1.0" encoding="utf-8"?>
<xdr:wsDr xmlns:r="http://schemas.openxmlformats.org/officeDocument/2006/relationships" xmlns:a="http://schemas.openxmlformats.org/drawingml/2006/main" xmlns:xdr="http://schemas.openxmlformats.org/drawingml/2006/spreadsheetDrawing">
  <xdr:twoCellAnchor>
    <xdr:from>
      <xdr:col>4</xdr:col>
      <xdr:colOff>609600</xdr:colOff>
      <xdr:row>0</xdr:row>
      <xdr:rowOff>9525</xdr:rowOff>
    </xdr:from>
    <xdr:to>
      <xdr:col>4</xdr:col>
      <xdr:colOff>610870</xdr:colOff>
      <xdr:row>4</xdr:row>
      <xdr:rowOff>101600</xdr:rowOff>
    </xdr:to>
    <xdr:pic>
      <xdr:nvPicPr>
        <xdr:cNvPr id="36" name="image4.jpg" descr="CLT Fund logo 2.JPG"/>
        <xdr:cNvPicPr/>
      </xdr:nvPicPr>
      <xdr:blipFill>
        <a:blip r:embed="rId1">
          <a:extLst/>
        </a:blip>
        <a:stretch>
          <a:fillRect/>
        </a:stretch>
      </xdr:blipFill>
      <xdr:spPr>
        <a:xfrm>
          <a:off x="4673600" y="9525"/>
          <a:ext cx="1271" cy="752475"/>
        </a:xfrm>
        <a:prstGeom prst="rect">
          <a:avLst/>
        </a:prstGeom>
        <a:ln w="12700" cap="flat">
          <a:noFill/>
          <a:miter lim="400000"/>
        </a:ln>
        <a:effectLst/>
      </xdr:spPr>
    </xdr:pic>
    <xdr:clientData/>
  </xdr:twoCellAnchor>
  <xdr:twoCellAnchor>
    <xdr:from>
      <xdr:col>7</xdr:col>
      <xdr:colOff>431800</xdr:colOff>
      <xdr:row>1</xdr:row>
      <xdr:rowOff>139700</xdr:rowOff>
    </xdr:from>
    <xdr:to>
      <xdr:col>8</xdr:col>
      <xdr:colOff>353059</xdr:colOff>
      <xdr:row>7</xdr:row>
      <xdr:rowOff>38733</xdr:rowOff>
    </xdr:to>
    <xdr:pic>
      <xdr:nvPicPr>
        <xdr:cNvPr id="37" name="image1.jpg"/>
        <xdr:cNvPicPr/>
      </xdr:nvPicPr>
      <xdr:blipFill>
        <a:blip r:embed="rId2">
          <a:extLst/>
        </a:blip>
        <a:stretch>
          <a:fillRect/>
        </a:stretch>
      </xdr:blipFill>
      <xdr:spPr>
        <a:xfrm>
          <a:off x="7543800" y="304800"/>
          <a:ext cx="937260" cy="889634"/>
        </a:xfrm>
        <a:prstGeom prst="rect">
          <a:avLst/>
        </a:prstGeom>
        <a:ln w="12700" cap="flat">
          <a:noFill/>
          <a:miter lim="400000"/>
        </a:ln>
        <a:effectLst/>
      </xdr:spPr>
    </xdr:pic>
    <xdr:clientData/>
  </xdr:twoCellAnchor>
</xdr:wsDr>
</file>

<file path=xl/drawings/drawing13.xml><?xml version="1.0" encoding="utf-8"?>
<xdr:wsDr xmlns:r="http://schemas.openxmlformats.org/officeDocument/2006/relationships" xmlns:a="http://schemas.openxmlformats.org/drawingml/2006/main" xmlns:xdr="http://schemas.openxmlformats.org/drawingml/2006/spreadsheetDrawing">
  <xdr:twoCellAnchor>
    <xdr:from>
      <xdr:col>0</xdr:col>
      <xdr:colOff>46646</xdr:colOff>
      <xdr:row>20</xdr:row>
      <xdr:rowOff>199590</xdr:rowOff>
    </xdr:from>
    <xdr:to>
      <xdr:col>7</xdr:col>
      <xdr:colOff>410445</xdr:colOff>
      <xdr:row>33</xdr:row>
      <xdr:rowOff>83886</xdr:rowOff>
    </xdr:to>
    <xdr:graphicFrame>
      <xdr:nvGraphicFramePr>
        <xdr:cNvPr id="39" name="Chart 39"/>
        <xdr:cNvGraphicFramePr/>
      </xdr:nvGraphicFramePr>
      <xdr:xfrm>
        <a:off x="46646" y="5577061"/>
        <a:ext cx="5761300" cy="2476039"/>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9</xdr:col>
      <xdr:colOff>21532</xdr:colOff>
      <xdr:row>20</xdr:row>
      <xdr:rowOff>200501</xdr:rowOff>
    </xdr:from>
    <xdr:to>
      <xdr:col>13</xdr:col>
      <xdr:colOff>908585</xdr:colOff>
      <xdr:row>31</xdr:row>
      <xdr:rowOff>193677</xdr:rowOff>
    </xdr:to>
    <xdr:graphicFrame>
      <xdr:nvGraphicFramePr>
        <xdr:cNvPr id="40" name="Chart 40"/>
        <xdr:cNvGraphicFramePr/>
      </xdr:nvGraphicFramePr>
      <xdr:xfrm>
        <a:off x="6117532" y="5577971"/>
        <a:ext cx="5522554" cy="2186829"/>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12</xdr:col>
      <xdr:colOff>66675</xdr:colOff>
      <xdr:row>0</xdr:row>
      <xdr:rowOff>123825</xdr:rowOff>
    </xdr:from>
    <xdr:to>
      <xdr:col>13</xdr:col>
      <xdr:colOff>803909</xdr:colOff>
      <xdr:row>4</xdr:row>
      <xdr:rowOff>102869</xdr:rowOff>
    </xdr:to>
    <xdr:pic>
      <xdr:nvPicPr>
        <xdr:cNvPr id="41" name="image1.jpg"/>
        <xdr:cNvPicPr/>
      </xdr:nvPicPr>
      <xdr:blipFill>
        <a:blip r:embed="rId3">
          <a:extLst/>
        </a:blip>
        <a:stretch>
          <a:fillRect/>
        </a:stretch>
      </xdr:blipFill>
      <xdr:spPr>
        <a:xfrm>
          <a:off x="10569575" y="123825"/>
          <a:ext cx="965835" cy="893445"/>
        </a:xfrm>
        <a:prstGeom prst="rect">
          <a:avLst/>
        </a:prstGeom>
        <a:ln w="12700" cap="flat">
          <a:noFill/>
          <a:miter lim="400000"/>
        </a:ln>
        <a:effectLst/>
      </xdr:spPr>
    </xdr:pic>
    <xdr:clientData/>
  </xdr:twoCellAnchor>
</xdr:wsDr>
</file>

<file path=xl/drawings/drawing14.xml><?xml version="1.0" encoding="utf-8"?>
<xdr:wsDr xmlns:r="http://schemas.openxmlformats.org/officeDocument/2006/relationships" xmlns:a="http://schemas.openxmlformats.org/drawingml/2006/main" xmlns:xdr="http://schemas.openxmlformats.org/drawingml/2006/spreadsheetDrawing">
  <xdr:twoCellAnchor>
    <xdr:from>
      <xdr:col>4</xdr:col>
      <xdr:colOff>723900</xdr:colOff>
      <xdr:row>0</xdr:row>
      <xdr:rowOff>114300</xdr:rowOff>
    </xdr:from>
    <xdr:to>
      <xdr:col>4</xdr:col>
      <xdr:colOff>1714500</xdr:colOff>
      <xdr:row>3</xdr:row>
      <xdr:rowOff>304164</xdr:rowOff>
    </xdr:to>
    <xdr:pic>
      <xdr:nvPicPr>
        <xdr:cNvPr id="43" name="image1.jpg"/>
        <xdr:cNvPicPr/>
      </xdr:nvPicPr>
      <xdr:blipFill>
        <a:blip r:embed="rId1">
          <a:extLst/>
        </a:blip>
        <a:stretch>
          <a:fillRect/>
        </a:stretch>
      </xdr:blipFill>
      <xdr:spPr>
        <a:xfrm>
          <a:off x="8572500" y="114300"/>
          <a:ext cx="990600" cy="929640"/>
        </a:xfrm>
        <a:prstGeom prst="rect">
          <a:avLst/>
        </a:prstGeom>
        <a:ln w="12700" cap="flat">
          <a:noFill/>
          <a:miter lim="400000"/>
        </a:ln>
        <a:effectLst/>
      </xdr:spPr>
    </xdr:pic>
    <xdr:clientData/>
  </xdr:twoCellAnchor>
</xdr:wsDr>
</file>

<file path=xl/drawings/drawing15.xml><?xml version="1.0" encoding="utf-8"?>
<xdr:wsDr xmlns:r="http://schemas.openxmlformats.org/officeDocument/2006/relationships" xmlns:a="http://schemas.openxmlformats.org/drawingml/2006/main" xmlns:xdr="http://schemas.openxmlformats.org/drawingml/2006/spreadsheetDrawing">
  <xdr:twoCellAnchor>
    <xdr:from>
      <xdr:col>8</xdr:col>
      <xdr:colOff>790575</xdr:colOff>
      <xdr:row>1</xdr:row>
      <xdr:rowOff>111125</xdr:rowOff>
    </xdr:from>
    <xdr:to>
      <xdr:col>9</xdr:col>
      <xdr:colOff>851534</xdr:colOff>
      <xdr:row>7</xdr:row>
      <xdr:rowOff>19683</xdr:rowOff>
    </xdr:to>
    <xdr:pic>
      <xdr:nvPicPr>
        <xdr:cNvPr id="45" name="image1.jpg"/>
        <xdr:cNvPicPr/>
      </xdr:nvPicPr>
      <xdr:blipFill>
        <a:blip r:embed="rId1">
          <a:extLst/>
        </a:blip>
        <a:stretch>
          <a:fillRect/>
        </a:stretch>
      </xdr:blipFill>
      <xdr:spPr>
        <a:xfrm>
          <a:off x="8918575" y="276225"/>
          <a:ext cx="1076960" cy="899159"/>
        </a:xfrm>
        <a:prstGeom prst="rect">
          <a:avLst/>
        </a:prstGeom>
        <a:ln w="12700" cap="flat">
          <a:noFill/>
          <a:miter lim="400000"/>
        </a:ln>
        <a:effectLst/>
      </xdr:spPr>
    </xdr:pic>
    <xdr:clientData/>
  </xdr:twoCellAnchor>
</xdr:wsDr>
</file>

<file path=xl/drawings/drawing16.xml><?xml version="1.0" encoding="utf-8"?>
<xdr:wsDr xmlns:r="http://schemas.openxmlformats.org/officeDocument/2006/relationships" xmlns:a="http://schemas.openxmlformats.org/drawingml/2006/main" xmlns:xdr="http://schemas.openxmlformats.org/drawingml/2006/spreadsheetDrawing">
  <xdr:twoCellAnchor>
    <xdr:from>
      <xdr:col>4</xdr:col>
      <xdr:colOff>219073</xdr:colOff>
      <xdr:row>0</xdr:row>
      <xdr:rowOff>19050</xdr:rowOff>
    </xdr:from>
    <xdr:to>
      <xdr:col>5</xdr:col>
      <xdr:colOff>88899</xdr:colOff>
      <xdr:row>5</xdr:row>
      <xdr:rowOff>31750</xdr:rowOff>
    </xdr:to>
    <xdr:pic>
      <xdr:nvPicPr>
        <xdr:cNvPr id="47" name="image1.jpg"/>
        <xdr:cNvPicPr/>
      </xdr:nvPicPr>
      <xdr:blipFill>
        <a:blip r:embed="rId1">
          <a:extLst/>
        </a:blip>
        <a:stretch>
          <a:fillRect/>
        </a:stretch>
      </xdr:blipFill>
      <xdr:spPr>
        <a:xfrm>
          <a:off x="4283073" y="19050"/>
          <a:ext cx="885827" cy="838200"/>
        </a:xfrm>
        <a:prstGeom prst="rect">
          <a:avLst/>
        </a:prstGeom>
        <a:ln w="12700" cap="flat">
          <a:noFill/>
          <a:miter lim="400000"/>
        </a:ln>
        <a:effectLst/>
      </xdr:spPr>
    </xdr:pic>
    <xdr:clientData/>
  </xdr:twoCellAnchor>
</xdr:wsDr>
</file>

<file path=xl/drawings/drawing17.xml><?xml version="1.0" encoding="utf-8"?>
<xdr:wsDr xmlns:r="http://schemas.openxmlformats.org/officeDocument/2006/relationships" xmlns:a="http://schemas.openxmlformats.org/drawingml/2006/main" xmlns:xdr="http://schemas.openxmlformats.org/drawingml/2006/spreadsheetDrawing">
  <xdr:twoCellAnchor>
    <xdr:from>
      <xdr:col>3</xdr:col>
      <xdr:colOff>133350</xdr:colOff>
      <xdr:row>0</xdr:row>
      <xdr:rowOff>47625</xdr:rowOff>
    </xdr:from>
    <xdr:to>
      <xdr:col>3</xdr:col>
      <xdr:colOff>880109</xdr:colOff>
      <xdr:row>3</xdr:row>
      <xdr:rowOff>55245</xdr:rowOff>
    </xdr:to>
    <xdr:pic>
      <xdr:nvPicPr>
        <xdr:cNvPr id="49" name="image1.jpg"/>
        <xdr:cNvPicPr/>
      </xdr:nvPicPr>
      <xdr:blipFill>
        <a:blip r:embed="rId1">
          <a:extLst/>
        </a:blip>
        <a:stretch>
          <a:fillRect/>
        </a:stretch>
      </xdr:blipFill>
      <xdr:spPr>
        <a:xfrm>
          <a:off x="4959350" y="47625"/>
          <a:ext cx="746760" cy="693421"/>
        </a:xfrm>
        <a:prstGeom prst="rect">
          <a:avLst/>
        </a:prstGeom>
        <a:ln w="12700" cap="flat">
          <a:noFill/>
          <a:miter lim="400000"/>
        </a:ln>
        <a:effectLst/>
      </xdr:spPr>
    </xdr:pic>
    <xdr:clientData/>
  </xdr:twoCellAnchor>
</xdr:wsDr>
</file>

<file path=xl/drawings/drawing18.xml><?xml version="1.0" encoding="utf-8"?>
<xdr:wsDr xmlns:r="http://schemas.openxmlformats.org/officeDocument/2006/relationships" xmlns:a="http://schemas.openxmlformats.org/drawingml/2006/main" xmlns:xdr="http://schemas.openxmlformats.org/drawingml/2006/spreadsheetDrawing">
  <xdr:twoCellAnchor>
    <xdr:from>
      <xdr:col>78</xdr:col>
      <xdr:colOff>1209675</xdr:colOff>
      <xdr:row>0</xdr:row>
      <xdr:rowOff>0</xdr:rowOff>
    </xdr:from>
    <xdr:to>
      <xdr:col>79</xdr:col>
      <xdr:colOff>733425</xdr:colOff>
      <xdr:row>0</xdr:row>
      <xdr:rowOff>0</xdr:rowOff>
    </xdr:to>
    <xdr:sp>
      <xdr:nvSpPr>
        <xdr:cNvPr id="51" name="Shape 51"/>
        <xdr:cNvSpPr/>
      </xdr:nvSpPr>
      <xdr:spPr>
        <a:xfrm flipH="1" flipV="1">
          <a:off x="97869375" y="-1"/>
          <a:ext cx="933450" cy="2"/>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58</xdr:col>
      <xdr:colOff>209550</xdr:colOff>
      <xdr:row>0</xdr:row>
      <xdr:rowOff>0</xdr:rowOff>
    </xdr:from>
    <xdr:to>
      <xdr:col>60</xdr:col>
      <xdr:colOff>746125</xdr:colOff>
      <xdr:row>0</xdr:row>
      <xdr:rowOff>0</xdr:rowOff>
    </xdr:to>
    <xdr:sp>
      <xdr:nvSpPr>
        <xdr:cNvPr id="52" name="Shape 52"/>
        <xdr:cNvSpPr/>
      </xdr:nvSpPr>
      <xdr:spPr>
        <a:xfrm>
          <a:off x="81756250" y="0"/>
          <a:ext cx="1781175" cy="0"/>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71</xdr:col>
      <xdr:colOff>9525</xdr:colOff>
      <xdr:row>0</xdr:row>
      <xdr:rowOff>0</xdr:rowOff>
    </xdr:from>
    <xdr:to>
      <xdr:col>72</xdr:col>
      <xdr:colOff>241300</xdr:colOff>
      <xdr:row>0</xdr:row>
      <xdr:rowOff>0</xdr:rowOff>
    </xdr:to>
    <xdr:sp>
      <xdr:nvSpPr>
        <xdr:cNvPr id="53" name="Shape 53"/>
        <xdr:cNvSpPr/>
      </xdr:nvSpPr>
      <xdr:spPr>
        <a:xfrm>
          <a:off x="89798525" y="0"/>
          <a:ext cx="1031875" cy="0"/>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64</xdr:col>
      <xdr:colOff>200025</xdr:colOff>
      <xdr:row>0</xdr:row>
      <xdr:rowOff>0</xdr:rowOff>
    </xdr:from>
    <xdr:to>
      <xdr:col>66</xdr:col>
      <xdr:colOff>307975</xdr:colOff>
      <xdr:row>0</xdr:row>
      <xdr:rowOff>0</xdr:rowOff>
    </xdr:to>
    <xdr:sp>
      <xdr:nvSpPr>
        <xdr:cNvPr id="54" name="Shape 54"/>
        <xdr:cNvSpPr/>
      </xdr:nvSpPr>
      <xdr:spPr>
        <a:xfrm>
          <a:off x="85645625" y="0"/>
          <a:ext cx="1352550" cy="0"/>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78</xdr:col>
      <xdr:colOff>1209675</xdr:colOff>
      <xdr:row>0</xdr:row>
      <xdr:rowOff>0</xdr:rowOff>
    </xdr:from>
    <xdr:to>
      <xdr:col>79</xdr:col>
      <xdr:colOff>733425</xdr:colOff>
      <xdr:row>0</xdr:row>
      <xdr:rowOff>0</xdr:rowOff>
    </xdr:to>
    <xdr:sp>
      <xdr:nvSpPr>
        <xdr:cNvPr id="55" name="Shape 55"/>
        <xdr:cNvSpPr/>
      </xdr:nvSpPr>
      <xdr:spPr>
        <a:xfrm flipH="1" flipV="1">
          <a:off x="97869375" y="-1"/>
          <a:ext cx="933450" cy="2"/>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58</xdr:col>
      <xdr:colOff>209550</xdr:colOff>
      <xdr:row>0</xdr:row>
      <xdr:rowOff>0</xdr:rowOff>
    </xdr:from>
    <xdr:to>
      <xdr:col>60</xdr:col>
      <xdr:colOff>746125</xdr:colOff>
      <xdr:row>0</xdr:row>
      <xdr:rowOff>0</xdr:rowOff>
    </xdr:to>
    <xdr:sp>
      <xdr:nvSpPr>
        <xdr:cNvPr id="56" name="Shape 56"/>
        <xdr:cNvSpPr/>
      </xdr:nvSpPr>
      <xdr:spPr>
        <a:xfrm>
          <a:off x="81756250" y="0"/>
          <a:ext cx="1781175" cy="0"/>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71</xdr:col>
      <xdr:colOff>9525</xdr:colOff>
      <xdr:row>0</xdr:row>
      <xdr:rowOff>0</xdr:rowOff>
    </xdr:from>
    <xdr:to>
      <xdr:col>72</xdr:col>
      <xdr:colOff>241300</xdr:colOff>
      <xdr:row>0</xdr:row>
      <xdr:rowOff>0</xdr:rowOff>
    </xdr:to>
    <xdr:sp>
      <xdr:nvSpPr>
        <xdr:cNvPr id="57" name="Shape 57"/>
        <xdr:cNvSpPr/>
      </xdr:nvSpPr>
      <xdr:spPr>
        <a:xfrm>
          <a:off x="89798525" y="0"/>
          <a:ext cx="1031875" cy="0"/>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64</xdr:col>
      <xdr:colOff>200025</xdr:colOff>
      <xdr:row>0</xdr:row>
      <xdr:rowOff>0</xdr:rowOff>
    </xdr:from>
    <xdr:to>
      <xdr:col>66</xdr:col>
      <xdr:colOff>307975</xdr:colOff>
      <xdr:row>0</xdr:row>
      <xdr:rowOff>0</xdr:rowOff>
    </xdr:to>
    <xdr:sp>
      <xdr:nvSpPr>
        <xdr:cNvPr id="58" name="Shape 58"/>
        <xdr:cNvSpPr/>
      </xdr:nvSpPr>
      <xdr:spPr>
        <a:xfrm>
          <a:off x="85645625" y="0"/>
          <a:ext cx="1352550" cy="0"/>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78</xdr:col>
      <xdr:colOff>1209675</xdr:colOff>
      <xdr:row>0</xdr:row>
      <xdr:rowOff>0</xdr:rowOff>
    </xdr:from>
    <xdr:to>
      <xdr:col>79</xdr:col>
      <xdr:colOff>733425</xdr:colOff>
      <xdr:row>0</xdr:row>
      <xdr:rowOff>0</xdr:rowOff>
    </xdr:to>
    <xdr:sp>
      <xdr:nvSpPr>
        <xdr:cNvPr id="59" name="Shape 59"/>
        <xdr:cNvSpPr/>
      </xdr:nvSpPr>
      <xdr:spPr>
        <a:xfrm flipH="1" flipV="1">
          <a:off x="97869375" y="-1"/>
          <a:ext cx="933450" cy="2"/>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58</xdr:col>
      <xdr:colOff>209550</xdr:colOff>
      <xdr:row>0</xdr:row>
      <xdr:rowOff>0</xdr:rowOff>
    </xdr:from>
    <xdr:to>
      <xdr:col>60</xdr:col>
      <xdr:colOff>746125</xdr:colOff>
      <xdr:row>0</xdr:row>
      <xdr:rowOff>0</xdr:rowOff>
    </xdr:to>
    <xdr:sp>
      <xdr:nvSpPr>
        <xdr:cNvPr id="60" name="Shape 60"/>
        <xdr:cNvSpPr/>
      </xdr:nvSpPr>
      <xdr:spPr>
        <a:xfrm>
          <a:off x="81756250" y="0"/>
          <a:ext cx="1781175" cy="0"/>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71</xdr:col>
      <xdr:colOff>9525</xdr:colOff>
      <xdr:row>0</xdr:row>
      <xdr:rowOff>0</xdr:rowOff>
    </xdr:from>
    <xdr:to>
      <xdr:col>72</xdr:col>
      <xdr:colOff>241300</xdr:colOff>
      <xdr:row>0</xdr:row>
      <xdr:rowOff>0</xdr:rowOff>
    </xdr:to>
    <xdr:sp>
      <xdr:nvSpPr>
        <xdr:cNvPr id="61" name="Shape 61"/>
        <xdr:cNvSpPr/>
      </xdr:nvSpPr>
      <xdr:spPr>
        <a:xfrm>
          <a:off x="89798525" y="0"/>
          <a:ext cx="1031875" cy="0"/>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64</xdr:col>
      <xdr:colOff>200025</xdr:colOff>
      <xdr:row>0</xdr:row>
      <xdr:rowOff>0</xdr:rowOff>
    </xdr:from>
    <xdr:to>
      <xdr:col>66</xdr:col>
      <xdr:colOff>307975</xdr:colOff>
      <xdr:row>0</xdr:row>
      <xdr:rowOff>0</xdr:rowOff>
    </xdr:to>
    <xdr:sp>
      <xdr:nvSpPr>
        <xdr:cNvPr id="62" name="Shape 62"/>
        <xdr:cNvSpPr/>
      </xdr:nvSpPr>
      <xdr:spPr>
        <a:xfrm>
          <a:off x="85645625" y="0"/>
          <a:ext cx="1352550" cy="0"/>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78</xdr:col>
      <xdr:colOff>1209675</xdr:colOff>
      <xdr:row>0</xdr:row>
      <xdr:rowOff>0</xdr:rowOff>
    </xdr:from>
    <xdr:to>
      <xdr:col>79</xdr:col>
      <xdr:colOff>733425</xdr:colOff>
      <xdr:row>0</xdr:row>
      <xdr:rowOff>0</xdr:rowOff>
    </xdr:to>
    <xdr:sp>
      <xdr:nvSpPr>
        <xdr:cNvPr id="63" name="Shape 63"/>
        <xdr:cNvSpPr/>
      </xdr:nvSpPr>
      <xdr:spPr>
        <a:xfrm flipH="1" flipV="1">
          <a:off x="97869375" y="-1"/>
          <a:ext cx="933450" cy="2"/>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58</xdr:col>
      <xdr:colOff>209550</xdr:colOff>
      <xdr:row>0</xdr:row>
      <xdr:rowOff>0</xdr:rowOff>
    </xdr:from>
    <xdr:to>
      <xdr:col>60</xdr:col>
      <xdr:colOff>746125</xdr:colOff>
      <xdr:row>0</xdr:row>
      <xdr:rowOff>0</xdr:rowOff>
    </xdr:to>
    <xdr:sp>
      <xdr:nvSpPr>
        <xdr:cNvPr id="64" name="Shape 64"/>
        <xdr:cNvSpPr/>
      </xdr:nvSpPr>
      <xdr:spPr>
        <a:xfrm>
          <a:off x="81756250" y="0"/>
          <a:ext cx="1781175" cy="0"/>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71</xdr:col>
      <xdr:colOff>9525</xdr:colOff>
      <xdr:row>0</xdr:row>
      <xdr:rowOff>0</xdr:rowOff>
    </xdr:from>
    <xdr:to>
      <xdr:col>72</xdr:col>
      <xdr:colOff>241300</xdr:colOff>
      <xdr:row>0</xdr:row>
      <xdr:rowOff>0</xdr:rowOff>
    </xdr:to>
    <xdr:sp>
      <xdr:nvSpPr>
        <xdr:cNvPr id="65" name="Shape 65"/>
        <xdr:cNvSpPr/>
      </xdr:nvSpPr>
      <xdr:spPr>
        <a:xfrm>
          <a:off x="89798525" y="0"/>
          <a:ext cx="1031875" cy="0"/>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64</xdr:col>
      <xdr:colOff>200025</xdr:colOff>
      <xdr:row>0</xdr:row>
      <xdr:rowOff>0</xdr:rowOff>
    </xdr:from>
    <xdr:to>
      <xdr:col>66</xdr:col>
      <xdr:colOff>307975</xdr:colOff>
      <xdr:row>0</xdr:row>
      <xdr:rowOff>0</xdr:rowOff>
    </xdr:to>
    <xdr:sp>
      <xdr:nvSpPr>
        <xdr:cNvPr id="66" name="Shape 66"/>
        <xdr:cNvSpPr/>
      </xdr:nvSpPr>
      <xdr:spPr>
        <a:xfrm>
          <a:off x="85645625" y="0"/>
          <a:ext cx="1352550" cy="0"/>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78</xdr:col>
      <xdr:colOff>1209675</xdr:colOff>
      <xdr:row>0</xdr:row>
      <xdr:rowOff>0</xdr:rowOff>
    </xdr:from>
    <xdr:to>
      <xdr:col>79</xdr:col>
      <xdr:colOff>733425</xdr:colOff>
      <xdr:row>0</xdr:row>
      <xdr:rowOff>0</xdr:rowOff>
    </xdr:to>
    <xdr:sp>
      <xdr:nvSpPr>
        <xdr:cNvPr id="67" name="Shape 67"/>
        <xdr:cNvSpPr/>
      </xdr:nvSpPr>
      <xdr:spPr>
        <a:xfrm flipH="1" flipV="1">
          <a:off x="97869375" y="-1"/>
          <a:ext cx="933450" cy="2"/>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58</xdr:col>
      <xdr:colOff>209550</xdr:colOff>
      <xdr:row>0</xdr:row>
      <xdr:rowOff>0</xdr:rowOff>
    </xdr:from>
    <xdr:to>
      <xdr:col>60</xdr:col>
      <xdr:colOff>746125</xdr:colOff>
      <xdr:row>0</xdr:row>
      <xdr:rowOff>0</xdr:rowOff>
    </xdr:to>
    <xdr:sp>
      <xdr:nvSpPr>
        <xdr:cNvPr id="68" name="Shape 68"/>
        <xdr:cNvSpPr/>
      </xdr:nvSpPr>
      <xdr:spPr>
        <a:xfrm>
          <a:off x="81756250" y="0"/>
          <a:ext cx="1781175" cy="0"/>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71</xdr:col>
      <xdr:colOff>9525</xdr:colOff>
      <xdr:row>0</xdr:row>
      <xdr:rowOff>0</xdr:rowOff>
    </xdr:from>
    <xdr:to>
      <xdr:col>72</xdr:col>
      <xdr:colOff>241300</xdr:colOff>
      <xdr:row>0</xdr:row>
      <xdr:rowOff>0</xdr:rowOff>
    </xdr:to>
    <xdr:sp>
      <xdr:nvSpPr>
        <xdr:cNvPr id="69" name="Shape 69"/>
        <xdr:cNvSpPr/>
      </xdr:nvSpPr>
      <xdr:spPr>
        <a:xfrm>
          <a:off x="89798525" y="0"/>
          <a:ext cx="1031875" cy="0"/>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64</xdr:col>
      <xdr:colOff>200025</xdr:colOff>
      <xdr:row>0</xdr:row>
      <xdr:rowOff>0</xdr:rowOff>
    </xdr:from>
    <xdr:to>
      <xdr:col>66</xdr:col>
      <xdr:colOff>307975</xdr:colOff>
      <xdr:row>0</xdr:row>
      <xdr:rowOff>0</xdr:rowOff>
    </xdr:to>
    <xdr:sp>
      <xdr:nvSpPr>
        <xdr:cNvPr id="70" name="Shape 70"/>
        <xdr:cNvSpPr/>
      </xdr:nvSpPr>
      <xdr:spPr>
        <a:xfrm>
          <a:off x="85645625" y="0"/>
          <a:ext cx="1352550" cy="0"/>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78</xdr:col>
      <xdr:colOff>1209675</xdr:colOff>
      <xdr:row>0</xdr:row>
      <xdr:rowOff>0</xdr:rowOff>
    </xdr:from>
    <xdr:to>
      <xdr:col>79</xdr:col>
      <xdr:colOff>733425</xdr:colOff>
      <xdr:row>0</xdr:row>
      <xdr:rowOff>0</xdr:rowOff>
    </xdr:to>
    <xdr:sp>
      <xdr:nvSpPr>
        <xdr:cNvPr id="71" name="Shape 71"/>
        <xdr:cNvSpPr/>
      </xdr:nvSpPr>
      <xdr:spPr>
        <a:xfrm flipH="1" flipV="1">
          <a:off x="97869375" y="-1"/>
          <a:ext cx="933450" cy="2"/>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58</xdr:col>
      <xdr:colOff>209550</xdr:colOff>
      <xdr:row>0</xdr:row>
      <xdr:rowOff>0</xdr:rowOff>
    </xdr:from>
    <xdr:to>
      <xdr:col>60</xdr:col>
      <xdr:colOff>746125</xdr:colOff>
      <xdr:row>0</xdr:row>
      <xdr:rowOff>0</xdr:rowOff>
    </xdr:to>
    <xdr:sp>
      <xdr:nvSpPr>
        <xdr:cNvPr id="72" name="Shape 72"/>
        <xdr:cNvSpPr/>
      </xdr:nvSpPr>
      <xdr:spPr>
        <a:xfrm>
          <a:off x="81756250" y="0"/>
          <a:ext cx="1781175" cy="0"/>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71</xdr:col>
      <xdr:colOff>9525</xdr:colOff>
      <xdr:row>0</xdr:row>
      <xdr:rowOff>0</xdr:rowOff>
    </xdr:from>
    <xdr:to>
      <xdr:col>72</xdr:col>
      <xdr:colOff>241300</xdr:colOff>
      <xdr:row>0</xdr:row>
      <xdr:rowOff>0</xdr:rowOff>
    </xdr:to>
    <xdr:sp>
      <xdr:nvSpPr>
        <xdr:cNvPr id="73" name="Shape 73"/>
        <xdr:cNvSpPr/>
      </xdr:nvSpPr>
      <xdr:spPr>
        <a:xfrm>
          <a:off x="89798525" y="0"/>
          <a:ext cx="1031875" cy="0"/>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64</xdr:col>
      <xdr:colOff>200025</xdr:colOff>
      <xdr:row>0</xdr:row>
      <xdr:rowOff>0</xdr:rowOff>
    </xdr:from>
    <xdr:to>
      <xdr:col>66</xdr:col>
      <xdr:colOff>307975</xdr:colOff>
      <xdr:row>0</xdr:row>
      <xdr:rowOff>0</xdr:rowOff>
    </xdr:to>
    <xdr:sp>
      <xdr:nvSpPr>
        <xdr:cNvPr id="74" name="Shape 74"/>
        <xdr:cNvSpPr/>
      </xdr:nvSpPr>
      <xdr:spPr>
        <a:xfrm>
          <a:off x="85645625" y="0"/>
          <a:ext cx="1352550" cy="0"/>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wsDr>
</file>

<file path=xl/drawings/drawing2.xml><?xml version="1.0" encoding="utf-8"?>
<xdr:wsDr xmlns:r="http://schemas.openxmlformats.org/officeDocument/2006/relationships" xmlns:a="http://schemas.openxmlformats.org/drawingml/2006/main" xmlns:xdr="http://schemas.openxmlformats.org/drawingml/2006/spreadsheetDrawing">
  <xdr:twoCellAnchor>
    <xdr:from>
      <xdr:col>13</xdr:col>
      <xdr:colOff>600075</xdr:colOff>
      <xdr:row>2</xdr:row>
      <xdr:rowOff>60325</xdr:rowOff>
    </xdr:from>
    <xdr:to>
      <xdr:col>14</xdr:col>
      <xdr:colOff>607158</xdr:colOff>
      <xdr:row>8</xdr:row>
      <xdr:rowOff>52703</xdr:rowOff>
    </xdr:to>
    <xdr:pic>
      <xdr:nvPicPr>
        <xdr:cNvPr id="4" name="image1.jpg"/>
        <xdr:cNvPicPr/>
      </xdr:nvPicPr>
      <xdr:blipFill>
        <a:blip r:embed="rId1">
          <a:extLst/>
        </a:blip>
        <a:stretch>
          <a:fillRect/>
        </a:stretch>
      </xdr:blipFill>
      <xdr:spPr>
        <a:xfrm>
          <a:off x="13808075" y="390525"/>
          <a:ext cx="1023084" cy="982979"/>
        </a:xfrm>
        <a:prstGeom prst="rect">
          <a:avLst/>
        </a:prstGeom>
        <a:ln w="12700" cap="flat">
          <a:noFill/>
          <a:miter lim="400000"/>
        </a:ln>
        <a:effectLst/>
      </xdr:spPr>
    </xdr:pic>
    <xdr:clientData/>
  </xdr:twoCellAnchor>
  <xdr:twoCellAnchor>
    <xdr:from>
      <xdr:col>16</xdr:col>
      <xdr:colOff>330200</xdr:colOff>
      <xdr:row>62</xdr:row>
      <xdr:rowOff>38100</xdr:rowOff>
    </xdr:from>
    <xdr:to>
      <xdr:col>16</xdr:col>
      <xdr:colOff>700707</xdr:colOff>
      <xdr:row>63</xdr:row>
      <xdr:rowOff>139700</xdr:rowOff>
    </xdr:to>
    <xdr:sp>
      <xdr:nvSpPr>
        <xdr:cNvPr id="5" name="Shape 5"/>
        <xdr:cNvSpPr/>
      </xdr:nvSpPr>
      <xdr:spPr>
        <a:xfrm>
          <a:off x="16586200" y="10274300"/>
          <a:ext cx="370508" cy="266700"/>
        </a:xfrm>
        <a:prstGeom prst="rect">
          <a:avLst/>
        </a:prstGeom>
        <a:noFill/>
        <a:ln w="12700" cap="flat">
          <a:noFill/>
          <a:miter lim="400000"/>
        </a:ln>
        <a:effectLst/>
      </xdr:spPr>
      <xdr:txBody>
        <a:bodyPr/>
        <a:lstStyle/>
        <a:p>
          <a:pPr lvl="0"/>
        </a:p>
      </xdr:txBody>
    </xdr:sp>
    <xdr:clientData/>
  </xdr:twoCellAnchor>
  <xdr:twoCellAnchor>
    <xdr:from>
      <xdr:col>16</xdr:col>
      <xdr:colOff>330200</xdr:colOff>
      <xdr:row>63</xdr:row>
      <xdr:rowOff>0</xdr:rowOff>
    </xdr:from>
    <xdr:to>
      <xdr:col>17</xdr:col>
      <xdr:colOff>838200</xdr:colOff>
      <xdr:row>67</xdr:row>
      <xdr:rowOff>152400</xdr:rowOff>
    </xdr:to>
    <xdr:sp>
      <xdr:nvSpPr>
        <xdr:cNvPr id="6" name="Shape 6"/>
        <xdr:cNvSpPr/>
      </xdr:nvSpPr>
      <xdr:spPr>
        <a:xfrm>
          <a:off x="16586200" y="10401300"/>
          <a:ext cx="1524000" cy="812800"/>
        </a:xfrm>
        <a:prstGeom prst="rect">
          <a:avLst/>
        </a:prstGeom>
        <a:gradFill flip="none" rotWithShape="1">
          <a:gsLst>
            <a:gs pos="0">
              <a:srgbClr val="FFFFD4"/>
            </a:gs>
            <a:gs pos="100000">
              <a:srgbClr val="FFFF80"/>
            </a:gs>
          </a:gsLst>
          <a:lin ang="16200000" scaled="0"/>
        </a:gradFill>
        <a:ln w="9525">
          <a:solidFill>
            <a:srgbClr val="ECECA1"/>
          </a:solidFill>
          <a:prstDash val="solid"/>
          <a:round/>
          <a:headEnd type="none" w="med" len="med"/>
          <a:tailEnd type="none" w="med" len="med"/>
        </a:ln>
        <a:effectLst>
          <a:outerShdw sx="100000" sy="100000" kx="0" ky="0" algn="b" rotWithShape="0" blurRad="63500" dist="35560" dir="2700000">
            <a:srgbClr val="808080"/>
          </a:outerShdw>
        </a:effectLst>
      </xdr:spPr>
      <xdr:txBody>
        <a:bodyPr lIns="91439" tIns="45719" rIns="91439" bIns="45719">
          <a:spAutoFit/>
        </a:bodyPr>
        <a:lstStyle/>
        <a:p>
          <a:pPr lvl="0" marL="0" marR="0" indent="0" algn="l" defTabSz="457200">
            <a:lnSpc>
              <a:spcPct val="100000"/>
            </a:lnSpc>
            <a:spcBef>
              <a:spcPts val="0"/>
            </a:spcBef>
            <a:spcAft>
              <a:spcPts val="0"/>
            </a:spcAft>
            <a:buClrTx/>
            <a:buSzTx/>
            <a:buFontTx/>
            <a:buNone/>
            <a:tabLst/>
          </a:pPr>
          <a:r>
            <a:rPr b="0" baseline="0" cap="none" i="0" spc="0" strike="noStrike" sz="1100" u="none">
              <a:ln>
                <a:noFill/>
              </a:ln>
              <a:solidFill>
                <a:srgbClr val="000000"/>
              </a:solidFill>
              <a:uFillTx/>
              <a:latin typeface="+mn-lt"/>
              <a:ea typeface="+mn-ea"/>
              <a:cs typeface="+mn-cs"/>
              <a:sym typeface="Helvetica"/>
            </a:rPr>
            <a:t>Author:
</a:t>
          </a:r>
        </a:p>
      </xdr:txBody>
    </xdr:sp>
    <xdr:clientData/>
  </xdr:twoCellAnchor>
</xdr:wsDr>
</file>

<file path=xl/drawings/drawing3.xml><?xml version="1.0" encoding="utf-8"?>
<xdr:wsDr xmlns:r="http://schemas.openxmlformats.org/officeDocument/2006/relationships" xmlns:a="http://schemas.openxmlformats.org/drawingml/2006/main" xmlns:xdr="http://schemas.openxmlformats.org/drawingml/2006/spreadsheetDrawing">
  <xdr:twoCellAnchor>
    <xdr:from>
      <xdr:col>52</xdr:col>
      <xdr:colOff>0</xdr:colOff>
      <xdr:row>0</xdr:row>
      <xdr:rowOff>0</xdr:rowOff>
    </xdr:from>
    <xdr:to>
      <xdr:col>52</xdr:col>
      <xdr:colOff>247650</xdr:colOff>
      <xdr:row>0</xdr:row>
      <xdr:rowOff>0</xdr:rowOff>
    </xdr:to>
    <xdr:sp>
      <xdr:nvSpPr>
        <xdr:cNvPr id="8" name="Shape 8"/>
        <xdr:cNvSpPr/>
      </xdr:nvSpPr>
      <xdr:spPr>
        <a:xfrm flipH="1" flipV="1">
          <a:off x="51803300" y="-1"/>
          <a:ext cx="247650" cy="2"/>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52</xdr:col>
      <xdr:colOff>0</xdr:colOff>
      <xdr:row>0</xdr:row>
      <xdr:rowOff>0</xdr:rowOff>
    </xdr:from>
    <xdr:to>
      <xdr:col>52</xdr:col>
      <xdr:colOff>504825</xdr:colOff>
      <xdr:row>0</xdr:row>
      <xdr:rowOff>0</xdr:rowOff>
    </xdr:to>
    <xdr:sp>
      <xdr:nvSpPr>
        <xdr:cNvPr id="9" name="Shape 9"/>
        <xdr:cNvSpPr/>
      </xdr:nvSpPr>
      <xdr:spPr>
        <a:xfrm>
          <a:off x="51803300" y="0"/>
          <a:ext cx="504825" cy="0"/>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52</xdr:col>
      <xdr:colOff>0</xdr:colOff>
      <xdr:row>0</xdr:row>
      <xdr:rowOff>0</xdr:rowOff>
    </xdr:from>
    <xdr:to>
      <xdr:col>53</xdr:col>
      <xdr:colOff>41275</xdr:colOff>
      <xdr:row>0</xdr:row>
      <xdr:rowOff>0</xdr:rowOff>
    </xdr:to>
    <xdr:sp>
      <xdr:nvSpPr>
        <xdr:cNvPr id="10" name="Shape 10"/>
        <xdr:cNvSpPr/>
      </xdr:nvSpPr>
      <xdr:spPr>
        <a:xfrm>
          <a:off x="51803300" y="0"/>
          <a:ext cx="714375" cy="0"/>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52</xdr:col>
      <xdr:colOff>0</xdr:colOff>
      <xdr:row>0</xdr:row>
      <xdr:rowOff>0</xdr:rowOff>
    </xdr:from>
    <xdr:to>
      <xdr:col>52</xdr:col>
      <xdr:colOff>247650</xdr:colOff>
      <xdr:row>0</xdr:row>
      <xdr:rowOff>0</xdr:rowOff>
    </xdr:to>
    <xdr:sp>
      <xdr:nvSpPr>
        <xdr:cNvPr id="11" name="Shape 11"/>
        <xdr:cNvSpPr/>
      </xdr:nvSpPr>
      <xdr:spPr>
        <a:xfrm flipH="1" flipV="1">
          <a:off x="51803300" y="-1"/>
          <a:ext cx="247650" cy="2"/>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52</xdr:col>
      <xdr:colOff>0</xdr:colOff>
      <xdr:row>0</xdr:row>
      <xdr:rowOff>0</xdr:rowOff>
    </xdr:from>
    <xdr:to>
      <xdr:col>52</xdr:col>
      <xdr:colOff>504825</xdr:colOff>
      <xdr:row>0</xdr:row>
      <xdr:rowOff>0</xdr:rowOff>
    </xdr:to>
    <xdr:sp>
      <xdr:nvSpPr>
        <xdr:cNvPr id="12" name="Shape 12"/>
        <xdr:cNvSpPr/>
      </xdr:nvSpPr>
      <xdr:spPr>
        <a:xfrm>
          <a:off x="51803300" y="0"/>
          <a:ext cx="504825" cy="0"/>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52</xdr:col>
      <xdr:colOff>0</xdr:colOff>
      <xdr:row>0</xdr:row>
      <xdr:rowOff>0</xdr:rowOff>
    </xdr:from>
    <xdr:to>
      <xdr:col>53</xdr:col>
      <xdr:colOff>41275</xdr:colOff>
      <xdr:row>0</xdr:row>
      <xdr:rowOff>0</xdr:rowOff>
    </xdr:to>
    <xdr:sp>
      <xdr:nvSpPr>
        <xdr:cNvPr id="13" name="Shape 13"/>
        <xdr:cNvSpPr/>
      </xdr:nvSpPr>
      <xdr:spPr>
        <a:xfrm>
          <a:off x="51803300" y="0"/>
          <a:ext cx="714375" cy="0"/>
        </a:xfrm>
        <a:prstGeom prst="line">
          <a:avLst/>
        </a:prstGeom>
        <a:noFill/>
        <a:ln w="9525" cap="flat">
          <a:solidFill>
            <a:srgbClr val="000000"/>
          </a:solidFill>
          <a:prstDash val="solid"/>
          <a:round/>
          <a:tailEnd type="triangle" w="med" len="med"/>
        </a:ln>
        <a:effectLst/>
      </xdr:spPr>
      <xdr:txBody>
        <a:bodyPr/>
        <a:lstStyle/>
        <a:p>
          <a:pPr lvl="0"/>
        </a:p>
      </xdr:txBody>
    </xdr:sp>
    <xdr:clientData/>
  </xdr:twoCellAnchor>
  <xdr:twoCellAnchor>
    <xdr:from>
      <xdr:col>10</xdr:col>
      <xdr:colOff>0</xdr:colOff>
      <xdr:row>7</xdr:row>
      <xdr:rowOff>0</xdr:rowOff>
    </xdr:from>
    <xdr:to>
      <xdr:col>11</xdr:col>
      <xdr:colOff>101063</xdr:colOff>
      <xdr:row>9</xdr:row>
      <xdr:rowOff>76199</xdr:rowOff>
    </xdr:to>
    <xdr:pic>
      <xdr:nvPicPr>
        <xdr:cNvPr id="14" name="image1.jpg"/>
        <xdr:cNvPicPr/>
      </xdr:nvPicPr>
      <xdr:blipFill>
        <a:blip r:embed="rId1">
          <a:extLst/>
        </a:blip>
        <a:stretch>
          <a:fillRect/>
        </a:stretch>
      </xdr:blipFill>
      <xdr:spPr>
        <a:xfrm>
          <a:off x="12369800" y="1285875"/>
          <a:ext cx="1129764" cy="1000125"/>
        </a:xfrm>
        <a:prstGeom prst="rect">
          <a:avLst/>
        </a:prstGeom>
        <a:ln w="12700" cap="flat">
          <a:noFill/>
          <a:miter lim="400000"/>
        </a:ln>
        <a:effectLst/>
      </xdr:spPr>
    </xdr:pic>
    <xdr:clientData/>
  </xdr:twoCellAnchor>
</xdr:wsDr>
</file>

<file path=xl/drawings/drawing4.xml><?xml version="1.0" encoding="utf-8"?>
<xdr:wsDr xmlns:r="http://schemas.openxmlformats.org/officeDocument/2006/relationships" xmlns:a="http://schemas.openxmlformats.org/drawingml/2006/main" xmlns:xdr="http://schemas.openxmlformats.org/drawingml/2006/spreadsheetDrawing">
  <xdr:twoCellAnchor>
    <xdr:from>
      <xdr:col>6</xdr:col>
      <xdr:colOff>76200</xdr:colOff>
      <xdr:row>0</xdr:row>
      <xdr:rowOff>76200</xdr:rowOff>
    </xdr:from>
    <xdr:to>
      <xdr:col>7</xdr:col>
      <xdr:colOff>70484</xdr:colOff>
      <xdr:row>4</xdr:row>
      <xdr:rowOff>104775</xdr:rowOff>
    </xdr:to>
    <xdr:pic>
      <xdr:nvPicPr>
        <xdr:cNvPr id="19" name="image1.jpg"/>
        <xdr:cNvPicPr/>
      </xdr:nvPicPr>
      <xdr:blipFill>
        <a:blip r:embed="rId1">
          <a:extLst/>
        </a:blip>
        <a:stretch>
          <a:fillRect/>
        </a:stretch>
      </xdr:blipFill>
      <xdr:spPr>
        <a:xfrm>
          <a:off x="8191500" y="76200"/>
          <a:ext cx="1073785" cy="895350"/>
        </a:xfrm>
        <a:prstGeom prst="rect">
          <a:avLst/>
        </a:prstGeom>
        <a:ln w="12700" cap="flat">
          <a:noFill/>
          <a:miter lim="400000"/>
        </a:ln>
        <a:effectLst/>
      </xdr:spPr>
    </xdr:pic>
    <xdr:clientData/>
  </xdr:twoCellAnchor>
</xdr:wsDr>
</file>

<file path=xl/drawings/drawing5.xml><?xml version="1.0" encoding="utf-8"?>
<xdr:wsDr xmlns:r="http://schemas.openxmlformats.org/officeDocument/2006/relationships" xmlns:a="http://schemas.openxmlformats.org/drawingml/2006/main" xmlns:xdr="http://schemas.openxmlformats.org/drawingml/2006/spreadsheetDrawing">
  <xdr:twoCellAnchor>
    <xdr:from>
      <xdr:col>8</xdr:col>
      <xdr:colOff>838200</xdr:colOff>
      <xdr:row>0</xdr:row>
      <xdr:rowOff>28575</xdr:rowOff>
    </xdr:from>
    <xdr:to>
      <xdr:col>9</xdr:col>
      <xdr:colOff>511809</xdr:colOff>
      <xdr:row>4</xdr:row>
      <xdr:rowOff>12065</xdr:rowOff>
    </xdr:to>
    <xdr:pic>
      <xdr:nvPicPr>
        <xdr:cNvPr id="21" name="image1.jpg"/>
        <xdr:cNvPicPr/>
      </xdr:nvPicPr>
      <xdr:blipFill>
        <a:blip r:embed="rId1">
          <a:extLst/>
        </a:blip>
        <a:stretch>
          <a:fillRect/>
        </a:stretch>
      </xdr:blipFill>
      <xdr:spPr>
        <a:xfrm>
          <a:off x="8966200" y="28575"/>
          <a:ext cx="689610" cy="643891"/>
        </a:xfrm>
        <a:prstGeom prst="rect">
          <a:avLst/>
        </a:prstGeom>
        <a:ln w="12700" cap="flat">
          <a:noFill/>
          <a:miter lim="400000"/>
        </a:ln>
        <a:effectLst/>
      </xdr:spPr>
    </xdr:pic>
    <xdr:clientData/>
  </xdr:twoCellAnchor>
</xdr:wsDr>
</file>

<file path=xl/drawings/drawing6.xml><?xml version="1.0" encoding="utf-8"?>
<xdr:wsDr xmlns:r="http://schemas.openxmlformats.org/officeDocument/2006/relationships" xmlns:a="http://schemas.openxmlformats.org/drawingml/2006/main" xmlns:xdr="http://schemas.openxmlformats.org/drawingml/2006/spreadsheetDrawing">
  <xdr:twoCellAnchor>
    <xdr:from>
      <xdr:col>14</xdr:col>
      <xdr:colOff>596900</xdr:colOff>
      <xdr:row>1</xdr:row>
      <xdr:rowOff>130175</xdr:rowOff>
    </xdr:from>
    <xdr:to>
      <xdr:col>15</xdr:col>
      <xdr:colOff>518160</xdr:colOff>
      <xdr:row>7</xdr:row>
      <xdr:rowOff>29208</xdr:rowOff>
    </xdr:to>
    <xdr:pic>
      <xdr:nvPicPr>
        <xdr:cNvPr id="23" name="image1.jpg"/>
        <xdr:cNvPicPr/>
      </xdr:nvPicPr>
      <xdr:blipFill>
        <a:blip r:embed="rId1">
          <a:extLst/>
        </a:blip>
        <a:stretch>
          <a:fillRect/>
        </a:stretch>
      </xdr:blipFill>
      <xdr:spPr>
        <a:xfrm>
          <a:off x="14820900" y="295275"/>
          <a:ext cx="937261" cy="889634"/>
        </a:xfrm>
        <a:prstGeom prst="rect">
          <a:avLst/>
        </a:prstGeom>
        <a:ln w="12700" cap="flat">
          <a:noFill/>
          <a:miter lim="400000"/>
        </a:ln>
        <a:effectLst/>
      </xdr:spPr>
    </xdr:pic>
    <xdr:clientData/>
  </xdr:twoCellAnchor>
</xdr:wsDr>
</file>

<file path=xl/drawings/drawing7.xml><?xml version="1.0" encoding="utf-8"?>
<xdr:wsDr xmlns:r="http://schemas.openxmlformats.org/officeDocument/2006/relationships" xmlns:a="http://schemas.openxmlformats.org/drawingml/2006/main" xmlns:xdr="http://schemas.openxmlformats.org/drawingml/2006/spreadsheetDrawing">
  <xdr:twoCellAnchor>
    <xdr:from>
      <xdr:col>7</xdr:col>
      <xdr:colOff>47625</xdr:colOff>
      <xdr:row>0</xdr:row>
      <xdr:rowOff>9525</xdr:rowOff>
    </xdr:from>
    <xdr:to>
      <xdr:col>7</xdr:col>
      <xdr:colOff>48895</xdr:colOff>
      <xdr:row>2</xdr:row>
      <xdr:rowOff>171450</xdr:rowOff>
    </xdr:to>
    <xdr:pic>
      <xdr:nvPicPr>
        <xdr:cNvPr id="25" name="image4.jpg" descr="CLT Fund logo 2.JPG"/>
        <xdr:cNvPicPr/>
      </xdr:nvPicPr>
      <xdr:blipFill>
        <a:blip r:embed="rId1">
          <a:extLst/>
        </a:blip>
        <a:stretch>
          <a:fillRect/>
        </a:stretch>
      </xdr:blipFill>
      <xdr:spPr>
        <a:xfrm>
          <a:off x="8480425" y="9525"/>
          <a:ext cx="1271" cy="752475"/>
        </a:xfrm>
        <a:prstGeom prst="rect">
          <a:avLst/>
        </a:prstGeom>
        <a:ln w="12700" cap="flat">
          <a:noFill/>
          <a:miter lim="400000"/>
        </a:ln>
        <a:effectLst/>
      </xdr:spPr>
    </xdr:pic>
    <xdr:clientData/>
  </xdr:twoCellAnchor>
  <xdr:twoCellAnchor>
    <xdr:from>
      <xdr:col>11</xdr:col>
      <xdr:colOff>0</xdr:colOff>
      <xdr:row>1</xdr:row>
      <xdr:rowOff>0</xdr:rowOff>
    </xdr:from>
    <xdr:to>
      <xdr:col>11</xdr:col>
      <xdr:colOff>937260</xdr:colOff>
      <xdr:row>5</xdr:row>
      <xdr:rowOff>13333</xdr:rowOff>
    </xdr:to>
    <xdr:pic>
      <xdr:nvPicPr>
        <xdr:cNvPr id="26" name="image1.jpg"/>
        <xdr:cNvPicPr/>
      </xdr:nvPicPr>
      <xdr:blipFill>
        <a:blip r:embed="rId2">
          <a:extLst/>
        </a:blip>
        <a:stretch>
          <a:fillRect/>
        </a:stretch>
      </xdr:blipFill>
      <xdr:spPr>
        <a:xfrm>
          <a:off x="14808200" y="295275"/>
          <a:ext cx="937261" cy="889634"/>
        </a:xfrm>
        <a:prstGeom prst="rect">
          <a:avLst/>
        </a:prstGeom>
        <a:ln w="12700" cap="flat">
          <a:noFill/>
          <a:miter lim="400000"/>
        </a:ln>
        <a:effectLst/>
      </xdr:spPr>
    </xdr:pic>
    <xdr:clientData/>
  </xdr:twoCellAnchor>
</xdr:wsDr>
</file>

<file path=xl/drawings/drawing8.xml><?xml version="1.0" encoding="utf-8"?>
<xdr:wsDr xmlns:r="http://schemas.openxmlformats.org/officeDocument/2006/relationships" xmlns:a="http://schemas.openxmlformats.org/drawingml/2006/main" xmlns:xdr="http://schemas.openxmlformats.org/drawingml/2006/spreadsheetDrawing">
  <xdr:twoCellAnchor>
    <xdr:from>
      <xdr:col>17</xdr:col>
      <xdr:colOff>558800</xdr:colOff>
      <xdr:row>1</xdr:row>
      <xdr:rowOff>139700</xdr:rowOff>
    </xdr:from>
    <xdr:to>
      <xdr:col>18</xdr:col>
      <xdr:colOff>480060</xdr:colOff>
      <xdr:row>7</xdr:row>
      <xdr:rowOff>38733</xdr:rowOff>
    </xdr:to>
    <xdr:pic>
      <xdr:nvPicPr>
        <xdr:cNvPr id="28" name="image1.jpg"/>
        <xdr:cNvPicPr/>
      </xdr:nvPicPr>
      <xdr:blipFill>
        <a:blip r:embed="rId1">
          <a:extLst/>
        </a:blip>
        <a:stretch>
          <a:fillRect/>
        </a:stretch>
      </xdr:blipFill>
      <xdr:spPr>
        <a:xfrm>
          <a:off x="17830800" y="304800"/>
          <a:ext cx="937261" cy="889634"/>
        </a:xfrm>
        <a:prstGeom prst="rect">
          <a:avLst/>
        </a:prstGeom>
        <a:ln w="12700" cap="flat">
          <a:noFill/>
          <a:miter lim="400000"/>
        </a:ln>
        <a:effectLst/>
      </xdr:spPr>
    </xdr:pic>
    <xdr:clientData/>
  </xdr:twoCellAnchor>
</xdr:wsDr>
</file>

<file path=xl/drawings/drawing9.xml><?xml version="1.0" encoding="utf-8"?>
<xdr:wsDr xmlns:r="http://schemas.openxmlformats.org/officeDocument/2006/relationships" xmlns:a="http://schemas.openxmlformats.org/drawingml/2006/main" xmlns:xdr="http://schemas.openxmlformats.org/drawingml/2006/spreadsheetDrawing">
  <xdr:twoCellAnchor>
    <xdr:from>
      <xdr:col>11</xdr:col>
      <xdr:colOff>279400</xdr:colOff>
      <xdr:row>1</xdr:row>
      <xdr:rowOff>130175</xdr:rowOff>
    </xdr:from>
    <xdr:to>
      <xdr:col>12</xdr:col>
      <xdr:colOff>200659</xdr:colOff>
      <xdr:row>7</xdr:row>
      <xdr:rowOff>29208</xdr:rowOff>
    </xdr:to>
    <xdr:pic>
      <xdr:nvPicPr>
        <xdr:cNvPr id="30" name="image1.jpg"/>
        <xdr:cNvPicPr/>
      </xdr:nvPicPr>
      <xdr:blipFill>
        <a:blip r:embed="rId1">
          <a:extLst/>
        </a:blip>
        <a:stretch>
          <a:fillRect/>
        </a:stretch>
      </xdr:blipFill>
      <xdr:spPr>
        <a:xfrm>
          <a:off x="11455400" y="295275"/>
          <a:ext cx="937260" cy="889634"/>
        </a:xfrm>
        <a:prstGeom prst="rect">
          <a:avLst/>
        </a:prstGeom>
        <a:ln w="12700" cap="flat">
          <a:noFill/>
          <a:miter lim="400000"/>
        </a:ln>
        <a:effectLst/>
      </xdr:spPr>
    </xdr:pic>
    <xdr:clientData/>
  </xdr:twoCellAnchor>
</xdr:wsDr>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40000" dist="20000" dir="5400000">
              <a:srgbClr val="000000">
                <a:alpha val="38000"/>
              </a:srgbClr>
            </a:outerShdw>
          </a:effectLst>
        </a:effectStyle>
        <a:effectStyle>
          <a:effectLst>
            <a:outerShdw sx="100000" sy="100000" kx="0" ky="0" algn="b" rotWithShape="0" blurRad="40000" dist="23000" dir="5400000">
              <a:srgbClr val="000000">
                <a:alpha val="35000"/>
              </a:srgbClr>
            </a:outerShdw>
          </a:effectLst>
        </a:effectStyle>
        <a:effectStyle>
          <a:effectLst>
            <a:outerShdw sx="100000" sy="100000" kx="0" ky="0" algn="b" rotWithShape="0" blurRad="400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1"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1"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0.xml.rels><?xml version="1.0" encoding="UTF-8" standalone="yes"?><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5.vml"/></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6.xml"/><Relationship Id="rId2" Type="http://schemas.openxmlformats.org/officeDocument/2006/relationships/vmlDrawing" Target="../drawings/vmlDrawing6.vml"/></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7.xml"/><Relationship Id="rId2" Type="http://schemas.openxmlformats.org/officeDocument/2006/relationships/vmlDrawing" Target="../drawings/vmlDrawing7.vml"/></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8.xml"/><Relationship Id="rId2" Type="http://schemas.openxmlformats.org/officeDocument/2006/relationships/vmlDrawing" Target="../drawings/vmlDrawing8.vml"/></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9.xml"/><Relationship Id="rId2" Type="http://schemas.openxmlformats.org/officeDocument/2006/relationships/vmlDrawing" Target="../drawings/vmlDrawing9.vml"/></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10.xml"/><Relationship Id="rId2" Type="http://schemas.openxmlformats.org/officeDocument/2006/relationships/vmlDrawing" Target="../drawings/vmlDrawing10.v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s>

</file>

<file path=xl/worksheets/_rels/sheet21.xml.rels><?xml version="1.0" encoding="UTF-8" standalone="yes"?><Relationships xmlns="http://schemas.openxmlformats.org/package/2006/relationships"><Relationship Id="rId1" Type="http://schemas.openxmlformats.org/officeDocument/2006/relationships/drawing" Target="../drawings/drawing11.xml"/><Relationship Id="rId2" Type="http://schemas.openxmlformats.org/officeDocument/2006/relationships/vmlDrawing" Target="../drawings/vmlDrawing11.vml"/></Relationships>

</file>

<file path=xl/worksheets/_rels/sheet23.xml.rels><?xml version="1.0" encoding="UTF-8" standalone="yes"?><Relationships xmlns="http://schemas.openxmlformats.org/package/2006/relationships"><Relationship Id="rId1" Type="http://schemas.openxmlformats.org/officeDocument/2006/relationships/drawing" Target="../drawings/drawing12.xml"/><Relationship Id="rId2" Type="http://schemas.openxmlformats.org/officeDocument/2006/relationships/vmlDrawing" Target="../drawings/vmlDrawing12.vml"/></Relationships>

</file>

<file path=xl/worksheets/_rels/sheet24.xml.rels><?xml version="1.0" encoding="UTF-8" standalone="yes"?><Relationships xmlns="http://schemas.openxmlformats.org/package/2006/relationships"><Relationship Id="rId1" Type="http://schemas.openxmlformats.org/officeDocument/2006/relationships/drawing" Target="../drawings/drawing13.xml"/><Relationship Id="rId2" Type="http://schemas.openxmlformats.org/officeDocument/2006/relationships/vmlDrawing" Target="../drawings/vmlDrawing13.vml"/></Relationships>

</file>

<file path=xl/worksheets/_rels/sheet25.xml.rels><?xml version="1.0" encoding="UTF-8" standalone="yes"?><Relationships xmlns="http://schemas.openxmlformats.org/package/2006/relationships"><Relationship Id="rId1" Type="http://schemas.openxmlformats.org/officeDocument/2006/relationships/drawing" Target="../drawings/drawing14.xml"/><Relationship Id="rId2" Type="http://schemas.openxmlformats.org/officeDocument/2006/relationships/vmlDrawing" Target="../drawings/vmlDrawing14.vml"/></Relationships>

</file>

<file path=xl/worksheets/_rels/sheet27.xml.rels><?xml version="1.0" encoding="UTF-8" standalone="yes"?><Relationships xmlns="http://schemas.openxmlformats.org/package/2006/relationships"><Relationship Id="rId1" Type="http://schemas.openxmlformats.org/officeDocument/2006/relationships/drawing" Target="../drawings/drawing15.xml"/><Relationship Id="rId2" Type="http://schemas.openxmlformats.org/officeDocument/2006/relationships/vmlDrawing" Target="../drawings/vmlDrawing15.vml"/></Relationships>

</file>

<file path=xl/worksheets/_rels/sheet30.xml.rels><?xml version="1.0" encoding="UTF-8" standalone="yes"?><Relationships xmlns="http://schemas.openxmlformats.org/package/2006/relationships"><Relationship Id="rId1" Type="http://schemas.openxmlformats.org/officeDocument/2006/relationships/drawing" Target="../drawings/drawing16.xml"/><Relationship Id="rId2" Type="http://schemas.openxmlformats.org/officeDocument/2006/relationships/vmlDrawing" Target="../drawings/vmlDrawing16.vml"/></Relationships>

</file>

<file path=xl/worksheets/_rels/sheet31.xml.rels><?xml version="1.0" encoding="UTF-8" standalone="yes"?><Relationships xmlns="http://schemas.openxmlformats.org/package/2006/relationships"><Relationship Id="rId1" Type="http://schemas.openxmlformats.org/officeDocument/2006/relationships/drawing" Target="../drawings/drawing17.xml"/><Relationship Id="rId2" Type="http://schemas.openxmlformats.org/officeDocument/2006/relationships/vmlDrawing" Target="../drawings/vmlDrawing17.vml"/></Relationships>

</file>

<file path=xl/worksheets/_rels/sheet34.xml.rels><?xml version="1.0" encoding="UTF-8" standalone="yes"?><Relationships xmlns="http://schemas.openxmlformats.org/package/2006/relationships"><Relationship Id="rId1" Type="http://schemas.openxmlformats.org/officeDocument/2006/relationships/drawing" Target="../drawings/drawing18.xml"/><Relationship Id="rId2" Type="http://schemas.openxmlformats.org/officeDocument/2006/relationships/vmlDrawing" Target="../drawings/vmlDrawing18.vml"/></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3.vml"/><Relationship Id="rId3" Type="http://schemas.openxmlformats.org/officeDocument/2006/relationships/comments" Target="../comments1.xml"/></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4.v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28"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44</v>
      </c>
      <c r="C11" s="3"/>
      <c r="D11" s="3"/>
    </row>
    <row r="12">
      <c r="B12" s="4"/>
      <c r="C12" t="s" s="4">
        <v>5</v>
      </c>
      <c r="D12" t="s" s="5">
        <v>44</v>
      </c>
    </row>
    <row r="13">
      <c r="B13" s="4"/>
      <c r="C13" t="s" s="4">
        <v>563</v>
      </c>
      <c r="D13" t="s" s="5">
        <v>564</v>
      </c>
    </row>
    <row r="14">
      <c r="B14" t="s" s="3">
        <v>565</v>
      </c>
      <c r="C14" s="3"/>
      <c r="D14" s="3"/>
    </row>
    <row r="15">
      <c r="B15" s="4"/>
      <c r="C15" t="s" s="4">
        <v>5</v>
      </c>
      <c r="D15" t="s" s="5">
        <v>565</v>
      </c>
    </row>
    <row r="16">
      <c r="B16" t="s" s="3">
        <v>566</v>
      </c>
      <c r="C16" s="3"/>
      <c r="D16" s="3"/>
    </row>
    <row r="17">
      <c r="B17" s="4"/>
      <c r="C17" t="s" s="4">
        <v>5</v>
      </c>
      <c r="D17" t="s" s="5">
        <v>566</v>
      </c>
    </row>
    <row r="18">
      <c r="B18" t="s" s="3">
        <v>45</v>
      </c>
      <c r="C18" s="3"/>
      <c r="D18" s="3"/>
    </row>
    <row r="19">
      <c r="B19" s="4"/>
      <c r="C19" t="s" s="4">
        <v>5</v>
      </c>
      <c r="D19" t="s" s="5">
        <v>45</v>
      </c>
    </row>
    <row r="20">
      <c r="B20" t="s" s="3">
        <v>611</v>
      </c>
      <c r="C20" s="3"/>
      <c r="D20" s="3"/>
    </row>
    <row r="21">
      <c r="B21" s="4"/>
      <c r="C21" t="s" s="4">
        <v>5</v>
      </c>
      <c r="D21" t="s" s="5">
        <v>611</v>
      </c>
    </row>
    <row r="22">
      <c r="B22" t="s" s="3">
        <v>690</v>
      </c>
      <c r="C22" s="3"/>
      <c r="D22" s="3"/>
    </row>
    <row r="23">
      <c r="B23" s="4"/>
      <c r="C23" t="s" s="4">
        <v>5</v>
      </c>
      <c r="D23" t="s" s="5">
        <v>690</v>
      </c>
    </row>
    <row r="24">
      <c r="B24" s="4"/>
      <c r="C24" t="s" s="4">
        <v>563</v>
      </c>
      <c r="D24" t="s" s="5">
        <v>729</v>
      </c>
    </row>
    <row r="25">
      <c r="B25" t="s" s="3">
        <v>46</v>
      </c>
      <c r="C25" s="3"/>
      <c r="D25" s="3"/>
    </row>
    <row r="26">
      <c r="B26" s="4"/>
      <c r="C26" t="s" s="4">
        <v>5</v>
      </c>
      <c r="D26" t="s" s="5">
        <v>46</v>
      </c>
    </row>
    <row r="27">
      <c r="B27" s="4"/>
      <c r="C27" t="s" s="4">
        <v>563</v>
      </c>
      <c r="D27" t="s" s="5">
        <v>899</v>
      </c>
    </row>
    <row r="28">
      <c r="B28" t="s" s="3">
        <v>82</v>
      </c>
      <c r="C28" s="3"/>
      <c r="D28" s="3"/>
    </row>
    <row r="29">
      <c r="B29" s="4"/>
      <c r="C29" t="s" s="4">
        <v>5</v>
      </c>
      <c r="D29" t="s" s="5">
        <v>82</v>
      </c>
    </row>
    <row r="30">
      <c r="B30" t="s" s="3">
        <v>89</v>
      </c>
      <c r="C30" s="3"/>
      <c r="D30" s="3"/>
    </row>
    <row r="31">
      <c r="B31" s="4"/>
      <c r="C31" t="s" s="4">
        <v>5</v>
      </c>
      <c r="D31" t="s" s="5">
        <v>89</v>
      </c>
    </row>
    <row r="32">
      <c r="B32" s="4"/>
      <c r="C32" t="s" s="4">
        <v>563</v>
      </c>
      <c r="D32" t="s" s="5">
        <v>929</v>
      </c>
    </row>
    <row r="33">
      <c r="B33" t="s" s="3">
        <v>94</v>
      </c>
      <c r="C33" s="3"/>
      <c r="D33" s="3"/>
    </row>
    <row r="34">
      <c r="B34" s="4"/>
      <c r="C34" t="s" s="4">
        <v>5</v>
      </c>
      <c r="D34" t="s" s="5">
        <v>94</v>
      </c>
    </row>
    <row r="35">
      <c r="B35" s="4"/>
      <c r="C35" t="s" s="4">
        <v>563</v>
      </c>
      <c r="D35" t="s" s="5">
        <v>931</v>
      </c>
    </row>
    <row r="36">
      <c r="B36" t="s" s="3">
        <v>98</v>
      </c>
      <c r="C36" s="3"/>
      <c r="D36" s="3"/>
    </row>
    <row r="37">
      <c r="B37" s="4"/>
      <c r="C37" t="s" s="4">
        <v>5</v>
      </c>
      <c r="D37" t="s" s="5">
        <v>98</v>
      </c>
    </row>
    <row r="38">
      <c r="B38" s="4"/>
      <c r="C38" t="s" s="4">
        <v>563</v>
      </c>
      <c r="D38" t="s" s="5">
        <v>932</v>
      </c>
    </row>
    <row r="39">
      <c r="B39" t="s" s="3">
        <v>933</v>
      </c>
      <c r="C39" s="3"/>
      <c r="D39" s="3"/>
    </row>
    <row r="40">
      <c r="B40" s="4"/>
      <c r="C40" t="s" s="4">
        <v>5</v>
      </c>
      <c r="D40" t="s" s="5">
        <v>933</v>
      </c>
    </row>
    <row r="41">
      <c r="B41" s="4"/>
      <c r="C41" t="s" s="4">
        <v>563</v>
      </c>
      <c r="D41" t="s" s="5">
        <v>937</v>
      </c>
    </row>
    <row r="42">
      <c r="B42" t="s" s="3">
        <v>105</v>
      </c>
      <c r="C42" s="3"/>
      <c r="D42" s="3"/>
    </row>
    <row r="43">
      <c r="B43" s="4"/>
      <c r="C43" t="s" s="4">
        <v>5</v>
      </c>
      <c r="D43" t="s" s="5">
        <v>105</v>
      </c>
    </row>
    <row r="44">
      <c r="B44" s="4"/>
      <c r="C44" t="s" s="4">
        <v>563</v>
      </c>
      <c r="D44" t="s" s="5">
        <v>946</v>
      </c>
    </row>
    <row r="45">
      <c r="B45" t="s" s="3">
        <v>947</v>
      </c>
      <c r="C45" s="3"/>
      <c r="D45" s="3"/>
    </row>
    <row r="46">
      <c r="B46" s="4"/>
      <c r="C46" t="s" s="4">
        <v>5</v>
      </c>
      <c r="D46" t="s" s="5">
        <v>947</v>
      </c>
    </row>
    <row r="47">
      <c r="B47" t="s" s="3">
        <v>969</v>
      </c>
      <c r="C47" s="3"/>
      <c r="D47" s="3"/>
    </row>
    <row r="48">
      <c r="B48" s="4"/>
      <c r="C48" t="s" s="4">
        <v>5</v>
      </c>
      <c r="D48" t="s" s="5">
        <v>969</v>
      </c>
    </row>
    <row r="49">
      <c r="B49" t="s" s="3">
        <v>999</v>
      </c>
      <c r="C49" s="3"/>
      <c r="D49" s="3"/>
    </row>
    <row r="50">
      <c r="B50" s="4"/>
      <c r="C50" t="s" s="4">
        <v>5</v>
      </c>
      <c r="D50" t="s" s="5">
        <v>999</v>
      </c>
    </row>
    <row r="51">
      <c r="B51" s="4"/>
      <c r="C51" t="s" s="4">
        <v>563</v>
      </c>
      <c r="D51" t="s" s="5">
        <v>1028</v>
      </c>
    </row>
    <row r="52">
      <c r="B52" t="s" s="3">
        <v>1029</v>
      </c>
      <c r="C52" s="3"/>
      <c r="D52" s="3"/>
    </row>
    <row r="53">
      <c r="B53" s="4"/>
      <c r="C53" t="s" s="4">
        <v>5</v>
      </c>
      <c r="D53" t="s" s="5">
        <v>1029</v>
      </c>
    </row>
    <row r="54">
      <c r="B54" t="s" s="3">
        <v>1030</v>
      </c>
      <c r="C54" s="3"/>
      <c r="D54" s="3"/>
    </row>
    <row r="55">
      <c r="B55" s="4"/>
      <c r="C55" t="s" s="4">
        <v>5</v>
      </c>
      <c r="D55" t="s" s="5">
        <v>1030</v>
      </c>
    </row>
    <row r="56">
      <c r="B56" s="4"/>
      <c r="C56" t="s" s="4">
        <v>563</v>
      </c>
      <c r="D56" t="s" s="5">
        <v>1058</v>
      </c>
    </row>
    <row r="57">
      <c r="B57" t="s" s="3">
        <v>1059</v>
      </c>
      <c r="C57" s="3"/>
      <c r="D57" s="3"/>
    </row>
    <row r="58">
      <c r="B58" s="4"/>
      <c r="C58" t="s" s="4">
        <v>5</v>
      </c>
      <c r="D58" t="s" s="5">
        <v>1059</v>
      </c>
    </row>
    <row r="59">
      <c r="B59" t="s" s="3">
        <v>1078</v>
      </c>
      <c r="C59" s="3"/>
      <c r="D59" s="3"/>
    </row>
    <row r="60">
      <c r="B60" s="4"/>
      <c r="C60" t="s" s="4">
        <v>5</v>
      </c>
      <c r="D60" t="s" s="5">
        <v>1078</v>
      </c>
    </row>
    <row r="61">
      <c r="B61" t="s" s="3">
        <v>1095</v>
      </c>
      <c r="C61" s="3"/>
      <c r="D61" s="3"/>
    </row>
    <row r="62">
      <c r="B62" s="4"/>
      <c r="C62" t="s" s="4">
        <v>5</v>
      </c>
      <c r="D62" t="s" s="5">
        <v>1095</v>
      </c>
    </row>
    <row r="63">
      <c r="B63" t="s" s="3">
        <v>1099</v>
      </c>
      <c r="C63" s="3"/>
      <c r="D63" s="3"/>
    </row>
    <row r="64">
      <c r="B64" s="4"/>
      <c r="C64" t="s" s="4">
        <v>5</v>
      </c>
      <c r="D64" t="s" s="5">
        <v>1099</v>
      </c>
    </row>
    <row r="65">
      <c r="B65" t="s" s="3">
        <v>604</v>
      </c>
      <c r="C65" s="3"/>
      <c r="D65" s="3"/>
    </row>
    <row r="66">
      <c r="B66" s="4"/>
      <c r="C66" t="s" s="4">
        <v>5</v>
      </c>
      <c r="D66" t="s" s="5">
        <v>604</v>
      </c>
    </row>
  </sheetData>
  <mergeCells count="1">
    <mergeCell ref="B3:D3"/>
  </mergeCells>
  <hyperlinks>
    <hyperlink ref="D10" location="'Checklist'!R1C1" tooltip="" display="Checklist"/>
    <hyperlink ref="D12" location="'Project Information'!R1C1" tooltip="" display="Project Information"/>
    <hyperlink ref="D13" location="'Project Information - Drawings'!R1C1" tooltip="" display="Project Information - Drawings"/>
    <hyperlink ref="D15" location="'Sheet 1'!R2C2" tooltip="" display="Sheet 1"/>
    <hyperlink ref="D17" location="'Sheet 2'!R2C2" tooltip="" display="Sheet 2"/>
    <hyperlink ref="D19" location="'Dev Cash Flow'!R1C1" tooltip="" display="Dev Cash Flow"/>
    <hyperlink ref="D21" location="'Dev Cost Breakdown'!R1C1" tooltip="" display="Dev Cost Breakdown"/>
    <hyperlink ref="D23" location="'Professional Fees'!R1C1" tooltip="" display="Professional Fees"/>
    <hyperlink ref="D24" location="'Professional Fees - Drawings'!R1C1" tooltip="" display="Professional Fees - Drawings"/>
    <hyperlink ref="D26" location="'Social Rent'!R1C1" tooltip="" display="Social Rent"/>
    <hyperlink ref="D27" location="'Social Rent - Drawings'!R1C1" tooltip="" display="Social Rent - Drawings"/>
    <hyperlink ref="D29" location="'Affordable Rent'!R1C1" tooltip="" display="Affordable Rent"/>
    <hyperlink ref="D31" location="'Shared Ownership'!R1C1" tooltip="" display="Shared Ownership"/>
    <hyperlink ref="D32" location="'Shared Ownership - Drawings'!R1C1" tooltip="" display="Shared Ownership - Drawings"/>
    <hyperlink ref="D34" location="'Market Rent'!R1C1" tooltip="" display="Market Rent"/>
    <hyperlink ref="D35" location="'Market Rent - Drawings'!R1C1" tooltip="" display="Market Rent - Drawings"/>
    <hyperlink ref="D37" location="'Limited Equity'!R1C1" tooltip="" display="Limited Equity"/>
    <hyperlink ref="D38" location="'Limited Equity - Drawings'!R1C1" tooltip="" display="Limited Equity - Drawings"/>
    <hyperlink ref="D40" location="'OutrightSale'!R1C1" tooltip="" display="OutrightSale"/>
    <hyperlink ref="D41" location="'OutrightSale - Drawings'!R1C1" tooltip="" display="OutrightSale - Drawings"/>
    <hyperlink ref="D43" location="'Commercial'!R1C1" tooltip="" display="Commercial"/>
    <hyperlink ref="D44" location="'Commercial - Drawings'!R1C1" tooltip="" display="Commercial - Drawings"/>
    <hyperlink ref="D46" location="'KEY KPI's'!R1C1" tooltip="" display="KEY KPI's"/>
    <hyperlink ref="D48" location="'Summary'!R1C1" tooltip="" display="Summary"/>
    <hyperlink ref="D50" location="'Cash Flow'!R1C1" tooltip="" display="Cash Flow"/>
    <hyperlink ref="D51" location="'Cash Flow - Drawings'!R1C1" tooltip="" display="Cash Flow - Drawings"/>
    <hyperlink ref="D53" location="'Sheet 3'!R2C2" tooltip="" display="Sheet 3"/>
    <hyperlink ref="D55" location="'Balance Sheet'!R1C1" tooltip="" display="Balance Sheet"/>
    <hyperlink ref="D56" location="'Balance Sheet - Drawings'!R1C1" tooltip="" display="Balance Sheet - Drawings"/>
    <hyperlink ref="D58" location="'I&amp;E'!R1C1" tooltip="" display="I&amp;E"/>
    <hyperlink ref="D60" location="'Secured Funding'!R1C1" tooltip="" display="Secured Funding"/>
    <hyperlink ref="D62" location="'Graphs'!R1C1" tooltip="" display="Graphs"/>
    <hyperlink ref="D64" location="'Master Cost Page'!R1C1" tooltip="" display="Master Cost Page"/>
    <hyperlink ref="D66" location="'Community Bond'!R1C1" tooltip="" display="Community Bond"/>
  </hyperlinks>
</worksheet>
</file>

<file path=xl/worksheets/sheet10.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256" width="10" customWidth="1"/>
  </cols>
  <sheetData/>
  <pageMargins left="0.75" right="0.75" top="1" bottom="1" header="0.5" footer="0.5"/>
  <pageSetup firstPageNumber="1" fitToHeight="1" fitToWidth="1" scale="100" useFirstPageNumber="0" orientation="landscape" pageOrder="downThenOver"/>
  <headerFooter>
    <oddFooter>&amp;L&amp;"Helvetica,Regular"&amp;12&amp;K000000	&amp;P</oddFooter>
  </headerFooter>
  <drawing r:id="rId1"/>
  <legacyDrawing r:id="rId2"/>
</worksheet>
</file>

<file path=xl/worksheets/sheet11.xml><?xml version="1.0" encoding="utf-8"?>
<worksheet xmlns:r="http://schemas.openxmlformats.org/officeDocument/2006/relationships" xmlns="http://schemas.openxmlformats.org/spreadsheetml/2006/main">
  <sheetPr>
    <pageSetUpPr fitToPage="1"/>
  </sheetPr>
  <dimension ref="A1:EB403"/>
  <sheetViews>
    <sheetView workbookViewId="0" defaultGridColor="0" colorId="16"/>
  </sheetViews>
  <sheetFormatPr defaultColWidth="6.625" defaultRowHeight="12.75" customHeight="1" outlineLevelRow="0" outlineLevelCol="0"/>
  <cols>
    <col min="1" max="1" width="3.75" style="6" customWidth="1"/>
    <col min="2" max="2" width="11" style="6" customWidth="1"/>
    <col min="3" max="3" width="11" style="6" customWidth="1"/>
    <col min="4" max="4" width="15.75" style="6" customWidth="1"/>
    <col min="5" max="5" width="16.5" style="6" customWidth="1"/>
    <col min="6" max="6" width="10.75" style="6" customWidth="1"/>
    <col min="7" max="7" width="13.75" style="6" customWidth="1"/>
    <col min="8" max="8" width="16.5" style="6" customWidth="1"/>
    <col min="9" max="9" width="16.5" style="6" customWidth="1"/>
    <col min="10" max="10" width="16.5" style="6" customWidth="1"/>
    <col min="11" max="11" width="13.875" style="6" customWidth="1"/>
    <col min="12" max="12" width="13.5" style="6" customWidth="1"/>
    <col min="13" max="13" width="6.875" style="6" customWidth="1"/>
    <col min="14" max="14" hidden="1" width="6.625" style="6" customWidth="1"/>
    <col min="15" max="15" hidden="1" width="6.625" style="6" customWidth="1"/>
    <col min="16" max="16" hidden="1" width="6.625" style="6" customWidth="1"/>
    <col min="17" max="17" hidden="1" width="6.625" style="6" customWidth="1"/>
    <col min="18" max="18" hidden="1" width="6.625" style="6" customWidth="1"/>
    <col min="19" max="19" hidden="1" width="6.625" style="6" customWidth="1"/>
    <col min="20" max="20" hidden="1" width="6.625" style="6" customWidth="1"/>
    <col min="21" max="21" hidden="1" width="6.625" style="6" customWidth="1"/>
    <col min="22" max="22" hidden="1" width="6.625" style="6" customWidth="1"/>
    <col min="23" max="23" hidden="1" width="6.625" style="6" customWidth="1"/>
    <col min="24" max="24" hidden="1" width="6.625" style="6" customWidth="1"/>
    <col min="25" max="25" hidden="1" width="6.625" style="6" customWidth="1"/>
    <col min="26" max="26" hidden="1" width="6.625" style="6" customWidth="1"/>
    <col min="27" max="27" hidden="1" width="6.625" style="6" customWidth="1"/>
    <col min="28" max="28" hidden="1" width="6.625" style="6" customWidth="1"/>
    <col min="29" max="29" hidden="1" width="6.625" style="6" customWidth="1"/>
    <col min="30" max="30" hidden="1" width="6.625" style="6" customWidth="1"/>
    <col min="31" max="31" hidden="1" width="6.625" style="6" customWidth="1"/>
    <col min="32" max="32" hidden="1" width="6.625" style="6" customWidth="1"/>
    <col min="33" max="33" hidden="1" width="6.625" style="6" customWidth="1"/>
    <col min="34" max="34" hidden="1" width="6.625" style="6" customWidth="1"/>
    <col min="35" max="35" hidden="1" width="6.625" style="6" customWidth="1"/>
    <col min="36" max="36" hidden="1" width="6.625" style="6" customWidth="1"/>
    <col min="37" max="37" hidden="1" width="6.625" style="6" customWidth="1"/>
    <col min="38" max="38" hidden="1" width="6.625" style="6" customWidth="1"/>
    <col min="39" max="39" hidden="1" width="6.625" style="6" customWidth="1"/>
    <col min="40" max="40" hidden="1" width="6.625" style="6" customWidth="1"/>
    <col min="41" max="41" hidden="1" width="6.625" style="6" customWidth="1"/>
    <col min="42" max="42" hidden="1" width="6.625" style="6" customWidth="1"/>
    <col min="43" max="43" hidden="1" width="6.625" style="6" customWidth="1"/>
    <col min="44" max="44" hidden="1" width="6.625" style="6" customWidth="1"/>
    <col min="45" max="45" hidden="1" width="6.625" style="6" customWidth="1"/>
    <col min="46" max="46" hidden="1" width="6.625" style="6" customWidth="1"/>
    <col min="47" max="47" width="6.875" style="6" customWidth="1"/>
    <col min="48" max="48" width="6.875" style="6" customWidth="1"/>
    <col min="49" max="49" width="6.875" style="6" customWidth="1"/>
    <col min="50" max="50" width="6.875" style="6" customWidth="1"/>
    <col min="51" max="51" width="6.875" style="6" customWidth="1"/>
    <col min="52" max="52" width="6.875" style="6" customWidth="1"/>
    <col min="53" max="53" width="6.875" style="6" customWidth="1"/>
    <col min="54" max="54" width="6.875" style="6" customWidth="1"/>
    <col min="55" max="55" width="6.875" style="6" customWidth="1"/>
    <col min="56" max="56" width="6.875" style="6" customWidth="1"/>
    <col min="57" max="57" width="6.875" style="6" customWidth="1"/>
    <col min="58" max="58" width="6.875" style="6" customWidth="1"/>
    <col min="59" max="59" width="6.875" style="6" customWidth="1"/>
    <col min="60" max="60" width="6.875" style="6" customWidth="1"/>
    <col min="61" max="61" width="6.875" style="6" customWidth="1"/>
    <col min="62" max="62" width="6.875" style="6" customWidth="1"/>
    <col min="63" max="63" width="6.875" style="6" customWidth="1"/>
    <col min="64" max="64" width="6.875" style="6" customWidth="1"/>
    <col min="65" max="65" width="6.875" style="6" customWidth="1"/>
    <col min="66" max="66" width="6.875" style="6" customWidth="1"/>
    <col min="67" max="67" width="6.875" style="6" customWidth="1"/>
    <col min="68" max="68" width="6.875" style="6" customWidth="1"/>
    <col min="69" max="69" width="6.875" style="6" customWidth="1"/>
    <col min="70" max="70" width="6.875" style="6" customWidth="1"/>
    <col min="71" max="71" width="6.875" style="6" customWidth="1"/>
    <col min="72" max="72" width="6.875" style="6" customWidth="1"/>
    <col min="73" max="73" width="6.875" style="6" customWidth="1"/>
    <col min="74" max="74" width="6.875" style="6" customWidth="1"/>
    <col min="75" max="75" width="6.875" style="6" customWidth="1"/>
    <col min="76" max="76" width="6.875" style="6" customWidth="1"/>
    <col min="77" max="77" width="6.875" style="6" customWidth="1"/>
    <col min="78" max="78" width="6.875" style="6" customWidth="1"/>
    <col min="79" max="79" width="6.875" style="6" customWidth="1"/>
    <col min="80" max="80" width="6.875" style="6" customWidth="1"/>
    <col min="81" max="81" width="6.875" style="6" customWidth="1"/>
    <col min="82" max="82" width="6.875" style="6" customWidth="1"/>
    <col min="83" max="83" width="6.875" style="6" customWidth="1"/>
    <col min="84" max="84" width="6.875" style="6" customWidth="1"/>
    <col min="85" max="85" width="6.875" style="6" customWidth="1"/>
    <col min="86" max="86" width="6.875" style="6" customWidth="1"/>
    <col min="87" max="87" width="6.875" style="6" customWidth="1"/>
    <col min="88" max="88" width="6.875" style="6" customWidth="1"/>
    <col min="89" max="89" width="6.875" style="6" customWidth="1"/>
    <col min="90" max="90" width="6.875" style="6" customWidth="1"/>
    <col min="91" max="91" width="6.875" style="6" customWidth="1"/>
    <col min="92" max="92" width="6.875" style="6" customWidth="1"/>
    <col min="93" max="93" width="6.875" style="6" customWidth="1"/>
    <col min="94" max="94" width="6.875" style="6" customWidth="1"/>
    <col min="95" max="95" width="6.875" style="6" customWidth="1"/>
    <col min="96" max="96" width="6.875" style="6" customWidth="1"/>
    <col min="97" max="97" width="6.875" style="6" customWidth="1"/>
    <col min="98" max="98" width="6.875" style="6" customWidth="1"/>
    <col min="99" max="99" width="6.875" style="6" customWidth="1"/>
    <col min="100" max="100" width="6.875" style="6" customWidth="1"/>
    <col min="101" max="101" width="6.875" style="6" customWidth="1"/>
    <col min="102" max="102" width="6.875" style="6" customWidth="1"/>
    <col min="103" max="103" width="6.875" style="6" customWidth="1"/>
    <col min="104" max="104" width="6.875" style="6" customWidth="1"/>
    <col min="105" max="105" width="6.875" style="6" customWidth="1"/>
    <col min="106" max="106" width="6.875" style="6" customWidth="1"/>
    <col min="107" max="107" width="6.875" style="6" customWidth="1"/>
    <col min="108" max="108" width="6.875" style="6" customWidth="1"/>
    <col min="109" max="109" width="6.875" style="6" customWidth="1"/>
    <col min="110" max="110" width="6.875" style="6" customWidth="1"/>
    <col min="111" max="111" hidden="1" width="6.625" style="6" customWidth="1"/>
    <col min="112" max="112" hidden="1" width="6.625" style="6" customWidth="1"/>
    <col min="113" max="113" hidden="1" width="6.625" style="6" customWidth="1"/>
    <col min="114" max="114" hidden="1" width="6.625" style="6" customWidth="1"/>
    <col min="115" max="115" hidden="1" width="6.625" style="6" customWidth="1"/>
    <col min="116" max="116" hidden="1" width="6.625" style="6" customWidth="1"/>
    <col min="117" max="117" hidden="1" width="6.625" style="6" customWidth="1"/>
    <col min="118" max="118" hidden="1" width="6.625" style="6" customWidth="1"/>
    <col min="119" max="119" hidden="1" width="6.625" style="6" customWidth="1"/>
    <col min="120" max="120" hidden="1" width="6.625" style="6" customWidth="1"/>
    <col min="121" max="121" hidden="1" width="6.625" style="6" customWidth="1"/>
    <col min="122" max="122" hidden="1" width="6.625" style="6" customWidth="1"/>
    <col min="123" max="123" hidden="1" width="6.625" style="6" customWidth="1"/>
    <col min="124" max="124" hidden="1" width="6.625" style="6" customWidth="1"/>
    <col min="125" max="125" hidden="1" width="6.625" style="6" customWidth="1"/>
    <col min="126" max="126" hidden="1" width="6.625" style="6" customWidth="1"/>
    <col min="127" max="127" hidden="1" width="6.625" style="6" customWidth="1"/>
    <col min="128" max="128" hidden="1" width="6.625" style="6" customWidth="1"/>
    <col min="129" max="129" hidden="1" width="6.625" style="6" customWidth="1"/>
    <col min="130" max="130" hidden="1" width="6.625" style="6" customWidth="1"/>
    <col min="131" max="131" hidden="1" width="6.625" style="6" customWidth="1"/>
    <col min="132" max="132" hidden="1" width="6.625" style="6" customWidth="1"/>
    <col min="133" max="256" width="6.625" style="474" customWidth="1"/>
  </cols>
  <sheetData>
    <row r="1" s="58" customFormat="1" ht="23.25" customHeight="1">
      <c r="B1" t="s" s="475">
        <v>46</v>
      </c>
      <c r="J1" s="48"/>
      <c r="K1" s="10"/>
      <c r="Z1" t="s" s="476">
        <f>CONCATENATE("Average Earnings in ",'Project Information'!H10," =")</f>
        <v>730</v>
      </c>
      <c r="AA1" s="477">
        <f>AC366</f>
      </c>
      <c r="AC1" t="s" s="478">
        <v>731</v>
      </c>
      <c r="AY1" s="48"/>
    </row>
    <row r="2" s="58" customFormat="1" ht="23.25" customHeight="1">
      <c r="B2" s="479"/>
      <c r="F2" s="25"/>
      <c r="J2" s="56"/>
      <c r="K2" s="12"/>
      <c r="Z2" s="480"/>
      <c r="AA2" s="481"/>
      <c r="AC2" s="482"/>
      <c r="AY2" s="56"/>
    </row>
    <row r="3" s="58" customFormat="1" ht="15.75" customHeight="1">
      <c r="B3" t="s" s="59">
        <v>56</v>
      </c>
      <c r="C3" s="61"/>
      <c r="F3" s="10"/>
      <c r="I3" s="483"/>
      <c r="J3" s="56"/>
      <c r="K3" s="56"/>
      <c r="Z3" s="480"/>
      <c r="AA3" s="481"/>
      <c r="AC3" s="482"/>
      <c r="AY3" s="56"/>
    </row>
    <row r="4" s="58" customFormat="1" ht="15" customHeight="1">
      <c r="B4" t="s" s="484">
        <v>58</v>
      </c>
      <c r="C4" s="485"/>
      <c r="F4" s="486"/>
      <c r="I4" s="483"/>
      <c r="J4" s="67"/>
      <c r="K4" s="56"/>
      <c r="Z4" s="480"/>
      <c r="AA4" s="481"/>
      <c r="AC4" s="482"/>
      <c r="AY4" s="56"/>
      <c r="CY4" t="s" s="62">
        <v>732</v>
      </c>
    </row>
    <row r="5" s="58" customFormat="1" ht="15" customHeight="1">
      <c r="B5" t="s" s="487">
        <v>570</v>
      </c>
      <c r="C5" s="488"/>
      <c r="I5" s="483"/>
      <c r="K5" s="489"/>
      <c r="AB5" s="490"/>
      <c r="AC5" t="s" s="491">
        <v>733</v>
      </c>
      <c r="AY5" s="56"/>
    </row>
    <row r="6" s="58" customFormat="1" ht="15" customHeight="1">
      <c r="B6" t="s" s="74">
        <v>734</v>
      </c>
      <c r="C6" s="492"/>
      <c r="E6" s="77"/>
      <c r="I6" s="483"/>
      <c r="K6" s="489"/>
      <c r="AB6" s="490"/>
      <c r="AC6" s="493"/>
      <c r="AY6" s="56"/>
    </row>
    <row r="7" s="58" customFormat="1" ht="15.75" customHeight="1">
      <c r="B7" s="494"/>
      <c r="C7" s="494"/>
      <c r="AB7" s="490"/>
      <c r="AC7" s="493"/>
      <c r="AY7" s="56"/>
      <c r="CY7" s="62">
        <v>1</v>
      </c>
      <c r="CZ7" s="62">
        <f>CY7+1</f>
        <v>2</v>
      </c>
      <c r="DA7" s="62">
        <f>CZ7+1</f>
        <v>3</v>
      </c>
      <c r="DB7" s="62">
        <f>DA7+1</f>
        <v>4</v>
      </c>
      <c r="DC7" s="62">
        <f>DB7+1</f>
        <v>5</v>
      </c>
      <c r="DD7" s="62">
        <f>DC7+1</f>
        <v>6</v>
      </c>
      <c r="DE7" s="62">
        <f>DD7+1</f>
        <v>7</v>
      </c>
      <c r="DF7" s="62">
        <f>DE7+1</f>
        <v>8</v>
      </c>
      <c r="DG7" s="62">
        <f>DF7+1</f>
        <v>9</v>
      </c>
      <c r="DH7" s="62">
        <f>DG7+1</f>
        <v>10</v>
      </c>
      <c r="DI7" s="62">
        <f>DH7+1</f>
        <v>11</v>
      </c>
      <c r="DJ7" s="62">
        <f>DI7+1</f>
        <v>12</v>
      </c>
      <c r="DK7" s="62">
        <f>DJ7+1</f>
        <v>13</v>
      </c>
      <c r="DL7" s="62">
        <f>DK7+1</f>
        <v>14</v>
      </c>
      <c r="DM7" s="62">
        <f>DL7+1</f>
        <v>15</v>
      </c>
      <c r="DN7" s="62">
        <f>DM7+1</f>
        <v>16</v>
      </c>
      <c r="DO7" s="62">
        <f>DN7+1</f>
        <v>17</v>
      </c>
      <c r="DP7" s="62">
        <f>DO7+1</f>
        <v>18</v>
      </c>
      <c r="DQ7" s="62">
        <f>DP7+1</f>
        <v>19</v>
      </c>
      <c r="DR7" s="62">
        <f>DQ7+1</f>
        <v>20</v>
      </c>
      <c r="DS7" s="62">
        <f>DR7+1</f>
        <v>21</v>
      </c>
      <c r="DT7" s="62">
        <f>DS7+1</f>
        <v>22</v>
      </c>
      <c r="DU7" s="62">
        <f>DT7+1</f>
        <v>23</v>
      </c>
      <c r="DV7" s="62">
        <f>DU7+1</f>
        <v>24</v>
      </c>
      <c r="DW7" s="62">
        <f>DV7+1</f>
        <v>25</v>
      </c>
    </row>
    <row r="8" s="58" customFormat="1" ht="36.75" customHeight="1">
      <c r="B8" t="s" s="495">
        <v>735</v>
      </c>
      <c r="C8" t="s" s="495">
        <v>736</v>
      </c>
      <c r="D8" t="s" s="495">
        <v>737</v>
      </c>
      <c r="E8" t="s" s="495">
        <v>738</v>
      </c>
      <c r="F8" t="s" s="495">
        <v>739</v>
      </c>
      <c r="G8" t="s" s="495">
        <v>740</v>
      </c>
      <c r="H8" t="s" s="495">
        <v>741</v>
      </c>
      <c r="I8" t="s" s="495">
        <v>742</v>
      </c>
      <c r="J8" t="s" s="495">
        <v>743</v>
      </c>
      <c r="K8" t="s" s="495">
        <v>744</v>
      </c>
      <c r="L8" t="s" s="495">
        <v>745</v>
      </c>
      <c r="W8" t="s" s="496">
        <v>746</v>
      </c>
      <c r="X8" t="s" s="497">
        <v>747</v>
      </c>
      <c r="Y8" t="s" s="496">
        <v>748</v>
      </c>
      <c r="Z8" t="s" s="498">
        <v>749</v>
      </c>
      <c r="AA8" t="s" s="498">
        <v>750</v>
      </c>
      <c r="AB8" s="499"/>
      <c r="AC8" t="s" s="500">
        <v>751</v>
      </c>
      <c r="AD8" t="s" s="501">
        <v>752</v>
      </c>
      <c r="AK8" s="502"/>
      <c r="AL8" s="107"/>
      <c r="AM8" s="503"/>
      <c r="AN8" s="107"/>
      <c r="AO8" s="107"/>
      <c r="AP8" s="107"/>
      <c r="AQ8" s="107"/>
      <c r="AR8" s="107"/>
      <c r="AS8" s="107"/>
      <c r="AT8" s="504"/>
      <c r="CY8" t="s" s="62">
        <v>73</v>
      </c>
      <c r="CZ8" t="s" s="62">
        <v>83</v>
      </c>
      <c r="DA8" t="s" s="62">
        <v>90</v>
      </c>
      <c r="DB8" t="s" s="62">
        <v>95</v>
      </c>
      <c r="DC8" t="s" s="62">
        <v>99</v>
      </c>
      <c r="DD8" t="s" s="62">
        <v>101</v>
      </c>
      <c r="DE8" t="s" s="62">
        <v>106</v>
      </c>
      <c r="DF8" t="s" s="62">
        <v>111</v>
      </c>
      <c r="DG8" t="s" s="62">
        <v>115</v>
      </c>
      <c r="DH8" t="s" s="62">
        <v>119</v>
      </c>
      <c r="DI8" t="s" s="62">
        <v>122</v>
      </c>
      <c r="DJ8" t="s" s="62">
        <v>126</v>
      </c>
      <c r="DK8" t="s" s="62">
        <v>129</v>
      </c>
      <c r="DL8" t="s" s="62">
        <v>133</v>
      </c>
      <c r="DM8" t="s" s="62">
        <v>136</v>
      </c>
      <c r="DN8" t="s" s="62">
        <v>139</v>
      </c>
      <c r="DO8" t="s" s="62">
        <v>143</v>
      </c>
      <c r="DP8" t="s" s="62">
        <v>147</v>
      </c>
      <c r="DQ8" t="s" s="62">
        <v>151</v>
      </c>
      <c r="DR8" t="s" s="62">
        <v>155</v>
      </c>
      <c r="DS8" t="s" s="62">
        <v>158</v>
      </c>
      <c r="DT8" t="s" s="62">
        <v>161</v>
      </c>
      <c r="DU8" t="s" s="62">
        <v>164</v>
      </c>
      <c r="DV8" t="s" s="62">
        <v>167</v>
      </c>
      <c r="DW8" t="s" s="62">
        <v>171</v>
      </c>
      <c r="DX8" s="56"/>
    </row>
    <row r="9" s="58" customFormat="1" ht="23.25" customHeight="1">
      <c r="B9" s="505"/>
      <c r="C9" s="505"/>
      <c r="D9" s="505"/>
      <c r="E9" s="505"/>
      <c r="F9" s="505"/>
      <c r="G9" t="s" s="506">
        <v>753</v>
      </c>
      <c r="H9" t="s" s="506">
        <v>754</v>
      </c>
      <c r="I9" t="s" s="506">
        <v>754</v>
      </c>
      <c r="J9" s="506">
        <f>'Project Information'!H16</f>
        <v>0</v>
      </c>
      <c r="K9" s="506">
        <f>'Project Information'!H16</f>
        <v>0</v>
      </c>
      <c r="L9" s="505"/>
      <c r="Z9" s="507"/>
      <c r="AA9" t="s" s="508">
        <v>755</v>
      </c>
      <c r="AB9" s="499"/>
      <c r="AC9" t="s" s="509">
        <v>756</v>
      </c>
      <c r="AF9" t="s" s="510">
        <v>757</v>
      </c>
      <c r="AI9" t="s" s="511">
        <v>758</v>
      </c>
      <c r="AK9" s="512"/>
      <c r="AL9" t="s" s="513">
        <v>759</v>
      </c>
      <c r="AM9" s="514"/>
      <c r="AN9" s="514"/>
      <c r="AO9" s="514"/>
      <c r="AP9" s="514"/>
      <c r="AQ9" s="514"/>
      <c r="AR9" s="514"/>
      <c r="AS9" s="514"/>
      <c r="AT9" s="515"/>
      <c r="CZ9" s="489">
        <v>-0.01</v>
      </c>
      <c r="DA9" s="489">
        <v>-0.01</v>
      </c>
      <c r="DB9" s="489">
        <f>'Project Information'!H43</f>
        <v>0.03</v>
      </c>
      <c r="DC9" s="489">
        <f>DB9</f>
        <v>0.03</v>
      </c>
      <c r="DD9" s="489">
        <f>DC9</f>
        <v>0.03</v>
      </c>
      <c r="DE9" s="489">
        <f>DD9</f>
        <v>0.03</v>
      </c>
      <c r="DF9" s="489">
        <f>DE9</f>
        <v>0.03</v>
      </c>
      <c r="DG9" s="489">
        <f>DF9</f>
        <v>0.03</v>
      </c>
      <c r="DH9" s="489">
        <f>DG9</f>
        <v>0.03</v>
      </c>
      <c r="DI9" s="489">
        <f>DH9</f>
        <v>0.03</v>
      </c>
      <c r="DJ9" s="489">
        <f>DI9</f>
        <v>0.03</v>
      </c>
      <c r="DK9" s="489">
        <f>DJ9</f>
        <v>0.03</v>
      </c>
      <c r="DL9" s="489">
        <f>DK9</f>
        <v>0.03</v>
      </c>
      <c r="DM9" s="489">
        <f>DL9</f>
        <v>0.03</v>
      </c>
      <c r="DN9" s="489">
        <f>DM9</f>
        <v>0.03</v>
      </c>
      <c r="DO9" s="489">
        <f>DN9</f>
        <v>0.03</v>
      </c>
      <c r="DP9" s="489">
        <f>DO9</f>
        <v>0.03</v>
      </c>
      <c r="DQ9" s="489">
        <f>DP9</f>
        <v>0.03</v>
      </c>
      <c r="DR9" s="489">
        <f>DQ9</f>
        <v>0.03</v>
      </c>
      <c r="DS9" s="489">
        <f>DR9</f>
        <v>0.03</v>
      </c>
      <c r="DT9" s="489">
        <f>DS9</f>
        <v>0.03</v>
      </c>
      <c r="DU9" s="489">
        <f>DT9</f>
        <v>0.03</v>
      </c>
      <c r="DV9" s="489">
        <f>DU9</f>
        <v>0.03</v>
      </c>
      <c r="DW9" s="489">
        <f>DV9</f>
        <v>0.03</v>
      </c>
      <c r="DX9" s="489"/>
      <c r="DY9" s="489"/>
      <c r="DZ9" s="489"/>
      <c r="EA9" s="489"/>
      <c r="EB9" s="516"/>
    </row>
    <row r="10" s="58" customFormat="1" ht="24" customHeight="1">
      <c r="B10" t="s" s="517">
        <v>78</v>
      </c>
      <c r="C10" t="s" s="517">
        <v>78</v>
      </c>
      <c r="D10" s="518"/>
      <c r="E10" s="518"/>
      <c r="F10" s="518"/>
      <c r="G10" t="s" s="517">
        <v>78</v>
      </c>
      <c r="H10" t="s" s="517">
        <v>78</v>
      </c>
      <c r="I10" t="s" s="517">
        <v>78</v>
      </c>
      <c r="J10" s="518"/>
      <c r="K10" s="518"/>
      <c r="L10" s="519"/>
      <c r="Z10" s="507"/>
      <c r="AA10" s="240"/>
      <c r="AB10" s="520"/>
      <c r="AC10" s="521"/>
      <c r="AF10" s="522"/>
      <c r="AI10" s="523"/>
      <c r="AK10" s="512"/>
      <c r="AL10" s="524"/>
      <c r="AM10" s="514"/>
      <c r="AN10" s="514"/>
      <c r="AO10" s="514"/>
      <c r="AP10" s="514"/>
      <c r="AQ10" s="514"/>
      <c r="AR10" s="514"/>
      <c r="AS10" s="514"/>
      <c r="AT10" s="515"/>
    </row>
    <row r="11" s="58" customFormat="1" ht="18" customHeight="1">
      <c r="B11" s="525"/>
      <c r="C11" s="526"/>
      <c r="D11" t="s" s="527">
        <f>LEFT(B11,1)</f>
      </c>
      <c r="E11" s="527">
        <f>IF(C11="",0,(IF(LEN(B11)=5,MID(B11,3,1),MID(B11,3,2))))</f>
        <v>0</v>
      </c>
      <c r="F11" s="527">
        <f>IF(Y11="H","House",IF(Y11="B","Bungalow",IF(Y11="F","Flat",IF(Y11="S","Shared",IF(Y11="T","Bedsit",IF(Y11="A","Wheelchair Flat",IF(Y11="W","Wheelchair",0)))))))</f>
        <v>0</v>
      </c>
      <c r="G11" s="526"/>
      <c r="H11" s="528"/>
      <c r="I11" s="528"/>
      <c r="J11" s="529">
        <f>IF(C11="",0,HLOOKUP($J$9,$CY$8:$DW$20,4,FALSE))</f>
        <v>0</v>
      </c>
      <c r="K11" s="530">
        <f>J11</f>
        <v>0</v>
      </c>
      <c r="L11" s="531">
        <f>K11*C11*52</f>
        <v>0</v>
      </c>
      <c r="W11" s="532">
        <f>SUM(((53.5*0.7)*(($AA$1/316.4)*X11)+SUM((53.5*0.3)*(H11/49750))))*1.021*1.043*1.022*1.022*1.033*1.036*1.032*1.041*1.044*1.055*0.991*1.051*1.061*1.031*1.037*1.022*0.99*0.99</f>
      </c>
      <c r="X11" s="182">
        <f>IF(D11="0",0.8,(IF(D11="1",0.9,(IF(D11="2",1,(IF(D11="3",1.1,(IF(D11="4",1.2,(IF(D11+"5",1.3,1.4)))))))))))</f>
      </c>
      <c r="Y11" t="s" s="62">
        <f>RIGHT(B11,1)</f>
      </c>
      <c r="Z11" t="s" s="88">
        <v>72</v>
      </c>
      <c r="AA11" t="s" s="533">
        <v>760</v>
      </c>
      <c r="AC11" s="534">
        <v>332.5</v>
      </c>
      <c r="AD11" t="s" s="535">
        <v>67</v>
      </c>
      <c r="AF11" t="s" s="88">
        <v>72</v>
      </c>
      <c r="AI11" s="536"/>
      <c r="AK11" s="512"/>
      <c r="AL11" s="537"/>
      <c r="AM11" s="514"/>
      <c r="AN11" s="514"/>
      <c r="AO11" s="514"/>
      <c r="AP11" s="514"/>
      <c r="AQ11" s="514"/>
      <c r="AR11" s="514"/>
      <c r="AS11" s="514"/>
      <c r="AT11" s="515"/>
      <c r="CY11" s="532">
        <f>W11</f>
      </c>
      <c r="CZ11" s="62">
        <f>CY11+(CY11*$CZ$9)</f>
      </c>
      <c r="DA11" s="62">
        <f>CZ11+(CZ11*$DA$9)</f>
      </c>
      <c r="DB11" s="62">
        <f>DA11+(DA11*$DB$9)</f>
      </c>
      <c r="DC11" s="62">
        <f>DB11+(DB11*$DC$9)</f>
      </c>
      <c r="DD11" s="62">
        <f>DC11+(DC11*$DD$9)</f>
      </c>
      <c r="DE11" s="62">
        <f>DD11+(DD11*$DE$9)</f>
      </c>
      <c r="DF11" s="62">
        <f>DE11+(DE11*$DF$9)</f>
      </c>
      <c r="DG11" s="62">
        <f>DF11+(DF11*$DG$9)</f>
      </c>
      <c r="DH11" s="62">
        <f>DG11+(DG11*$DH$9)</f>
      </c>
      <c r="DI11" s="62">
        <f>DH11+(DH11*$DI$9)</f>
      </c>
      <c r="DJ11" s="62">
        <f>DI11+(DI11*$DJ$9)</f>
      </c>
      <c r="DK11" s="62">
        <f>DJ11+(DJ11*$DK$9)</f>
      </c>
      <c r="DL11" s="62">
        <f>DK11+(DK11*$DL$9)</f>
      </c>
      <c r="DM11" s="62">
        <f>DL11+(DL11*$DM$9)</f>
      </c>
      <c r="DN11" s="62">
        <f>DM11+(DM11*$DN$9)</f>
      </c>
      <c r="DO11" s="62">
        <f>DN11+(DN11*$DO$9)</f>
      </c>
      <c r="DP11" s="62">
        <f>DO11+(DO11*$DP$9)</f>
      </c>
      <c r="DQ11" s="62">
        <f>DP11+(DP11*$DQ$9)</f>
      </c>
      <c r="DR11" s="62">
        <f>DQ11+(DQ11*$DR$9)</f>
      </c>
      <c r="DS11" s="62">
        <f>DR11+(DR11*$DS$9)</f>
      </c>
      <c r="DT11" s="62">
        <f>DS11+(DS11*$DT$9)</f>
      </c>
      <c r="DU11" s="62">
        <f>DT11+(DT11*$DU$9)</f>
      </c>
      <c r="DV11" s="62">
        <f>DU11+(DU11*$DV$9)</f>
      </c>
      <c r="DW11" s="62">
        <f>DV11+(DV11*$DW$9)</f>
      </c>
    </row>
    <row r="12" s="58" customFormat="1" ht="18" customHeight="1">
      <c r="B12" s="538"/>
      <c r="C12" s="539"/>
      <c r="D12" t="s" s="540">
        <f>LEFT(B12,1)</f>
      </c>
      <c r="E12" s="540">
        <f>IF(C12="",0,(IF(LEN(B12)=5,MID(B12,3,1),MID(B12,3,2))))</f>
        <v>0</v>
      </c>
      <c r="F12" s="540">
        <f>IF(Y12="H","House",IF(Y12="B","Bungalow",IF(Y12="F","Flat",IF(Y12="S","Shared",IF(Y12="T","Bedsit",IF(Y12="A","Wheelchair Flat",IF(Y12="W","Wheelchair",0)))))))</f>
        <v>0</v>
      </c>
      <c r="G12" s="539"/>
      <c r="H12" s="541"/>
      <c r="I12" s="541"/>
      <c r="J12" s="542">
        <f>IF(C12="",0,HLOOKUP($J$9,$CY$8:$DW$20,5,FALSE))</f>
        <v>0</v>
      </c>
      <c r="K12" s="543">
        <f>J12</f>
        <v>0</v>
      </c>
      <c r="L12" s="544">
        <f>K12*C12*52</f>
        <v>0</v>
      </c>
      <c r="W12" s="532">
        <f>SUM(((53.5*0.7)*(($AA$1/316.4)*X12)+SUM((53.5*0.3)*(H12/49750))))*1.021*1.043*1.022*1.022*1.033*1.036*1.032*1.041*1.044*1.055*0.991*1.051*1.061*1.031*1.037*1.022*0.99*0.99</f>
      </c>
      <c r="X12" s="182">
        <f>IF(D12="0",0.8,(IF(D12="1",0.9,(IF(D12="2",1,(IF(D12="3",1.1,(IF(D12="4",1.2,(IF(D12="5",1.3,1.4)))))))))))</f>
        <v>1.4</v>
      </c>
      <c r="Y12" t="s" s="62">
        <f>RIGHT(B12,1)</f>
      </c>
      <c r="Z12" t="s" s="88">
        <v>81</v>
      </c>
      <c r="AA12" t="s" s="533">
        <v>761</v>
      </c>
      <c r="AB12" s="545"/>
      <c r="AC12" s="534">
        <v>323.7</v>
      </c>
      <c r="AD12" t="s" s="535">
        <v>65</v>
      </c>
      <c r="AF12" t="s" s="88">
        <v>81</v>
      </c>
      <c r="AI12" t="s" s="90">
        <v>762</v>
      </c>
      <c r="AK12" s="512"/>
      <c r="AL12" s="546"/>
      <c r="AM12" s="514"/>
      <c r="AN12" s="514"/>
      <c r="AO12" s="514"/>
      <c r="AP12" s="514"/>
      <c r="AQ12" s="514"/>
      <c r="AR12" s="514"/>
      <c r="AS12" s="514"/>
      <c r="AT12" s="515"/>
      <c r="CY12" s="532">
        <f>W12</f>
      </c>
      <c r="CZ12" s="62">
        <f>CY12+(CY12*$CZ$9)</f>
      </c>
      <c r="DA12" s="62">
        <f>CZ12+(CZ12*$DA$9)</f>
      </c>
      <c r="DB12" s="62">
        <f>DA12+(DA12*$DB$9)</f>
      </c>
      <c r="DC12" s="62">
        <f>DB12+(DB12*$DC$9)</f>
      </c>
      <c r="DD12" s="62">
        <f>DC12+(DC12*$DD$9)</f>
      </c>
      <c r="DE12" s="62">
        <f>DD12+(DD12*$DE$9)</f>
      </c>
      <c r="DF12" s="62">
        <f>DE12+(DE12*$DF$9)</f>
      </c>
      <c r="DG12" s="62">
        <f>DF12+(DF12*$DG$9)</f>
      </c>
      <c r="DH12" s="62">
        <f>DG12+(DG12*$DH$9)</f>
      </c>
      <c r="DI12" s="62">
        <f>DH12+(DH12*$DI$9)</f>
      </c>
      <c r="DJ12" s="62">
        <f>DI12+(DI12*$DJ$9)</f>
      </c>
      <c r="DK12" s="62">
        <f>DJ12+(DJ12*$DK$9)</f>
      </c>
      <c r="DL12" s="62">
        <f>DK12+(DK12*$DL$9)</f>
      </c>
      <c r="DM12" s="62">
        <f>DL12+(DL12*$DM$9)</f>
      </c>
      <c r="DN12" s="62">
        <f>DM12+(DM12*$DN$9)</f>
      </c>
      <c r="DO12" s="62">
        <f>DN12+(DN12*$DO$9)</f>
      </c>
      <c r="DP12" s="62">
        <f>DO12+(DO12*$DP$9)</f>
      </c>
      <c r="DQ12" s="62">
        <f>DP12+(DP12*$DQ$9)</f>
      </c>
      <c r="DR12" s="62">
        <f>DQ12+(DQ12*$DR$9)</f>
      </c>
      <c r="DS12" s="62">
        <f>DR12+(DR12*$DS$9)</f>
      </c>
      <c r="DT12" s="62">
        <f>DS12+(DS12*$DT$9)</f>
      </c>
      <c r="DU12" s="62">
        <f>DT12+(DT12*$DU$9)</f>
      </c>
      <c r="DV12" s="62">
        <f>DU12+(DU12*$DV$9)</f>
      </c>
      <c r="DW12" s="62">
        <f>DV12+(DV12*$DW$9)</f>
      </c>
    </row>
    <row r="13" s="58" customFormat="1" ht="18" customHeight="1">
      <c r="B13" s="538"/>
      <c r="C13" s="539"/>
      <c r="D13" t="s" s="540">
        <f>LEFT(B13,1)</f>
      </c>
      <c r="E13" s="540">
        <f>IF(C13="",0,(IF(LEN(B13)=5,MID(B13,3,1),MID(B13,3,2))))</f>
        <v>0</v>
      </c>
      <c r="F13" s="540">
        <f>IF(Y13="H","House",IF(Y13="B","Bungalow",IF(Y13="F","Flat",IF(Y13="S","Shared",IF(Y13="T","Bedsit",IF(Y13="A","Wheelchair Flat",IF(Y13="W","Wheelchair",0)))))))</f>
        <v>0</v>
      </c>
      <c r="G13" s="539"/>
      <c r="H13" s="541"/>
      <c r="I13" s="541"/>
      <c r="J13" s="542">
        <f>IF(C13="",0,HLOOKUP($J$9,$CY$8:$DW$20,5,FALSE))</f>
        <v>0</v>
      </c>
      <c r="K13" s="543">
        <f>J13</f>
        <v>0</v>
      </c>
      <c r="L13" s="544">
        <f>K13*C13*52</f>
        <v>0</v>
      </c>
      <c r="W13" s="532">
        <f>SUM(((53.5*0.7)*(($AA$1/316.4)*X13)+SUM((53.5*0.3)*(H13/49750))))*1.021*1.043*1.022*1.022*1.033*1.036*1.032*1.041*1.044*1.055*0.991*1.051*1.061*1.031*1.037*1.022*0.99*0.99</f>
      </c>
      <c r="X13" s="182">
        <f>IF(D13="0",0.8,(IF(D13="1",0.9,(IF(D13="2",1,(IF(D13="3",1.1,(IF(D13="4",1.2,(IF(D13="5",1.3,1.4)))))))))))</f>
        <v>1.4</v>
      </c>
      <c r="Y13" t="s" s="62">
        <f>RIGHT(B13,1)</f>
      </c>
      <c r="Z13" t="s" s="88">
        <v>88</v>
      </c>
      <c r="AA13" t="s" s="533">
        <v>763</v>
      </c>
      <c r="AB13" s="547"/>
      <c r="AC13" s="534">
        <v>276.1</v>
      </c>
      <c r="AD13" t="s" s="535">
        <v>63</v>
      </c>
      <c r="AF13" t="s" s="88">
        <v>88</v>
      </c>
      <c r="AI13" t="s" s="90">
        <v>764</v>
      </c>
      <c r="AK13" s="512"/>
      <c r="AL13" s="537"/>
      <c r="AM13" s="514"/>
      <c r="AN13" s="514"/>
      <c r="AO13" s="514"/>
      <c r="AP13" s="514"/>
      <c r="AQ13" s="514"/>
      <c r="AR13" s="514"/>
      <c r="AS13" s="514"/>
      <c r="AT13" s="515"/>
      <c r="CY13" s="532">
        <f>W13</f>
      </c>
      <c r="CZ13" s="62">
        <f>CY13+(CY13*$CZ$9)</f>
      </c>
      <c r="DA13" s="62">
        <f>CZ13+(CZ13*$DA$9)</f>
      </c>
      <c r="DB13" s="62">
        <f>DA13+(DA13*$DB$9)</f>
      </c>
      <c r="DC13" s="62">
        <f>DB13+(DB13*$DC$9)</f>
      </c>
      <c r="DD13" s="62">
        <f>DC13+(DC13*$DD$9)</f>
      </c>
      <c r="DE13" s="62">
        <f>DD13+(DD13*$DE$9)</f>
      </c>
      <c r="DF13" s="62">
        <f>DE13+(DE13*$DF$9)</f>
      </c>
      <c r="DG13" s="62">
        <f>DF13+(DF13*$DG$9)</f>
      </c>
      <c r="DH13" s="62">
        <f>DG13+(DG13*$DH$9)</f>
      </c>
      <c r="DI13" s="62">
        <f>DH13+(DH13*$DI$9)</f>
      </c>
      <c r="DJ13" s="62">
        <f>DI13+(DI13*$DJ$9)</f>
      </c>
      <c r="DK13" s="62">
        <f>DJ13+(DJ13*$DK$9)</f>
      </c>
      <c r="DL13" s="62">
        <f>DK13+(DK13*$DL$9)</f>
      </c>
      <c r="DM13" s="62">
        <f>DL13+(DL13*$DM$9)</f>
      </c>
      <c r="DN13" s="62">
        <f>DM13+(DM13*$DN$9)</f>
      </c>
      <c r="DO13" s="62">
        <f>DN13+(DN13*$DO$9)</f>
      </c>
      <c r="DP13" s="62">
        <f>DO13+(DO13*$DP$9)</f>
      </c>
      <c r="DQ13" s="62">
        <f>DP13+(DP13*$DQ$9)</f>
      </c>
      <c r="DR13" s="62">
        <f>DQ13+(DQ13*$DR$9)</f>
      </c>
      <c r="DS13" s="62">
        <f>DR13+(DR13*$DS$9)</f>
      </c>
      <c r="DT13" s="62">
        <f>DS13+(DS13*$DT$9)</f>
      </c>
      <c r="DU13" s="62">
        <f>DT13+(DT13*$DU$9)</f>
      </c>
      <c r="DV13" s="62">
        <f>DU13+(DU13*$DV$9)</f>
      </c>
      <c r="DW13" s="62">
        <f>DV13+(DV13*$DW$9)</f>
      </c>
    </row>
    <row r="14" s="58" customFormat="1" ht="18" customHeight="1">
      <c r="B14" s="538"/>
      <c r="C14" s="539"/>
      <c r="D14" t="s" s="540">
        <f>LEFT(B14,1)</f>
      </c>
      <c r="E14" s="540">
        <f>IF(C14="",0,(IF(LEN(B14)=5,MID(B14,3,1),MID(B14,3,2))))</f>
        <v>0</v>
      </c>
      <c r="F14" s="540">
        <f>IF(Y14="H","House",IF(Y14="B","Bungalow",IF(Y14="F","Flat",IF(Y14="S","Shared",IF(Y14="T","Bedsit",IF(Y14="A","Wheelchair Flat",IF(Y14="W","Wheelchair",0)))))))</f>
        <v>0</v>
      </c>
      <c r="G14" s="539"/>
      <c r="H14" s="541"/>
      <c r="I14" s="541"/>
      <c r="J14" s="542">
        <f>IF(C14="",0,HLOOKUP($J$9,$CY$8:$DW$20,5,FALSE))</f>
        <v>0</v>
      </c>
      <c r="K14" s="543">
        <f>J14</f>
        <v>0</v>
      </c>
      <c r="L14" s="544">
        <f>K14*C14*52</f>
        <v>0</v>
      </c>
      <c r="W14" s="532">
        <f>SUM(((53.5*0.7)*(($AA$1/316.4)*X14)+SUM((53.5*0.3)*(H14/49750))))*1.021*1.043*1.022*1.022*1.033*1.036*1.032*1.041*1.044*1.055*0.991*1.051*1.061*1.031*1.037*1.022*0.99*0.99</f>
      </c>
      <c r="X14" s="182">
        <f>IF(D14="0",0.8,(IF(D14="1",0.9,(IF(D14="2",1,(IF(D14="3",1.1,(IF(D14="4",1.2,(IF(D14="5",1.3,1.4)))))))))))</f>
        <v>1.4</v>
      </c>
      <c r="Y14" t="s" s="62">
        <f>RIGHT(B14,1)</f>
      </c>
      <c r="Z14" t="s" s="88">
        <v>93</v>
      </c>
      <c r="AA14" t="s" s="533">
        <v>765</v>
      </c>
      <c r="AB14" s="547"/>
      <c r="AC14" s="534">
        <v>321.1</v>
      </c>
      <c r="AD14" t="s" s="535">
        <v>59</v>
      </c>
      <c r="AF14" t="s" s="88">
        <v>93</v>
      </c>
      <c r="AI14" t="s" s="90">
        <v>766</v>
      </c>
      <c r="AK14" s="512"/>
      <c r="AL14" s="548"/>
      <c r="AM14" s="514"/>
      <c r="AN14" s="514"/>
      <c r="AO14" s="549"/>
      <c r="AP14" s="550"/>
      <c r="AQ14" s="548"/>
      <c r="AR14" s="548"/>
      <c r="AS14" s="548"/>
      <c r="AT14" s="551"/>
      <c r="CY14" s="532">
        <f>W14</f>
      </c>
      <c r="CZ14" s="62">
        <f>CY14+(CY14*$CZ$9)</f>
      </c>
      <c r="DA14" s="62">
        <f>CZ14+(CZ14*$DA$9)</f>
      </c>
      <c r="DB14" s="62">
        <f>DA14+(DA14*$DB$9)</f>
      </c>
      <c r="DC14" s="62">
        <f>DB14+(DB14*$DC$9)</f>
      </c>
      <c r="DD14" s="62">
        <f>DC14+(DC14*$DD$9)</f>
      </c>
      <c r="DE14" s="62">
        <f>DD14+(DD14*$DE$9)</f>
      </c>
      <c r="DF14" s="62">
        <f>DE14+(DE14*$DF$9)</f>
      </c>
      <c r="DG14" s="62">
        <f>DF14+(DF14*$DG$9)</f>
      </c>
      <c r="DH14" s="62">
        <f>DG14+(DG14*$DH$9)</f>
      </c>
      <c r="DI14" s="62">
        <f>DH14+(DH14*$DI$9)</f>
      </c>
      <c r="DJ14" s="62">
        <f>DI14+(DI14*$DJ$9)</f>
      </c>
      <c r="DK14" s="62">
        <f>DJ14+(DJ14*$DK$9)</f>
      </c>
      <c r="DL14" s="62">
        <f>DK14+(DK14*$DL$9)</f>
      </c>
      <c r="DM14" s="62">
        <f>DL14+(DL14*$DM$9)</f>
      </c>
      <c r="DN14" s="62">
        <f>DM14+(DM14*$DN$9)</f>
      </c>
      <c r="DO14" s="62">
        <f>DN14+(DN14*$DO$9)</f>
      </c>
      <c r="DP14" s="62">
        <f>DO14+(DO14*$DP$9)</f>
      </c>
      <c r="DQ14" s="62">
        <f>DP14+(DP14*$DQ$9)</f>
      </c>
      <c r="DR14" s="62">
        <f>DQ14+(DQ14*$DR$9)</f>
      </c>
      <c r="DS14" s="62">
        <f>DR14+(DR14*$DS$9)</f>
      </c>
      <c r="DT14" s="62">
        <f>DS14+(DS14*$DT$9)</f>
      </c>
      <c r="DU14" s="62">
        <f>DT14+(DT14*$DU$9)</f>
      </c>
      <c r="DV14" s="62">
        <f>DU14+(DU14*$DV$9)</f>
      </c>
      <c r="DW14" s="62">
        <f>DV14+(DV14*$DW$9)</f>
      </c>
    </row>
    <row r="15" s="58" customFormat="1" ht="18" customHeight="1">
      <c r="B15" s="538"/>
      <c r="C15" s="539"/>
      <c r="D15" t="s" s="540">
        <f>LEFT(B15,1)</f>
      </c>
      <c r="E15" s="540">
        <f>IF(C15="",0,(IF(LEN(B15)=5,MID(B15,3,1),MID(B15,3,2))))</f>
        <v>0</v>
      </c>
      <c r="F15" s="540">
        <f>IF(Y15="H","House",IF(Y15="B","Bungalow",IF(Y15="F","Flat",IF(Y15="S","Shared",IF(Y15="T","Bedsit",IF(Y15="A","Wheelchair Flat",IF(Y15="W","Wheelchair",0)))))))</f>
        <v>0</v>
      </c>
      <c r="G15" s="539"/>
      <c r="H15" s="541"/>
      <c r="I15" s="541"/>
      <c r="J15" s="542">
        <f>IF(C15="",0,HLOOKUP($J$9,$CY$8:$DW$20,5,FALSE))</f>
        <v>0</v>
      </c>
      <c r="K15" s="543">
        <f>J15</f>
        <v>0</v>
      </c>
      <c r="L15" s="544">
        <f>K15*C15*52</f>
        <v>0</v>
      </c>
      <c r="W15" s="532">
        <f>SUM(((53.5*0.7)*(($AA$1/316.4)*X15)+SUM((53.5*0.3)*(H15/49750))))*1.021*1.043*1.022*1.022*1.033*1.036*1.032*1.041*1.044*1.055*0.991*1.051*1.061*1.031*1.037*1.022*0.99*0.99</f>
      </c>
      <c r="X15" s="182">
        <f>IF(D15="0",0.8,(IF(D15="1",0.9,(IF(D15="2",1,(IF(D15="3",1.1,(IF(D15="4",1.2,(IF(D15="5",1.3,1.4)))))))))))</f>
        <v>1.4</v>
      </c>
      <c r="Y15" t="s" s="62">
        <f>RIGHT(B15,1)</f>
      </c>
      <c r="Z15" t="s" s="88">
        <v>104</v>
      </c>
      <c r="AA15" t="s" s="533">
        <v>760</v>
      </c>
      <c r="AB15" s="547"/>
      <c r="AC15" s="534">
        <v>332.5</v>
      </c>
      <c r="AD15" t="s" s="535">
        <v>67</v>
      </c>
      <c r="AF15" t="s" s="88">
        <v>104</v>
      </c>
      <c r="AI15" t="s" s="90">
        <v>767</v>
      </c>
      <c r="AK15" s="512"/>
      <c r="AL15" s="548"/>
      <c r="AM15" s="514"/>
      <c r="AN15" s="514"/>
      <c r="AO15" s="549"/>
      <c r="AP15" s="514"/>
      <c r="AQ15" s="537"/>
      <c r="AR15" s="552"/>
      <c r="AS15" s="553"/>
      <c r="AT15" s="515"/>
      <c r="CY15" s="532">
        <f>W15</f>
      </c>
      <c r="CZ15" s="62">
        <f>CY15+(CY15*$CZ$9)</f>
      </c>
      <c r="DA15" s="62">
        <f>CZ15+(CZ15*$DA$9)</f>
      </c>
      <c r="DB15" s="62">
        <f>DA15+(DA15*$DB$9)</f>
      </c>
      <c r="DC15" s="62">
        <f>DB15+(DB15*$DC$9)</f>
      </c>
      <c r="DD15" s="62">
        <f>DC15+(DC15*$DD$9)</f>
      </c>
      <c r="DE15" s="62">
        <f>DD15+(DD15*$DE$9)</f>
      </c>
      <c r="DF15" s="62">
        <f>DE15+(DE15*$DF$9)</f>
      </c>
      <c r="DG15" s="62">
        <f>DF15+(DF15*$DG$9)</f>
      </c>
      <c r="DH15" s="62">
        <f>DG15+(DG15*$DH$9)</f>
      </c>
      <c r="DI15" s="62">
        <f>DH15+(DH15*$DI$9)</f>
      </c>
      <c r="DJ15" s="62">
        <f>DI15+(DI15*$DJ$9)</f>
      </c>
      <c r="DK15" s="62">
        <f>DJ15+(DJ15*$DK$9)</f>
      </c>
      <c r="DL15" s="62">
        <f>DK15+(DK15*$DL$9)</f>
      </c>
      <c r="DM15" s="62">
        <f>DL15+(DL15*$DM$9)</f>
      </c>
      <c r="DN15" s="62">
        <f>DM15+(DM15*$DN$9)</f>
      </c>
      <c r="DO15" s="62">
        <f>DN15+(DN15*$DO$9)</f>
      </c>
      <c r="DP15" s="62">
        <f>DO15+(DO15*$DP$9)</f>
      </c>
      <c r="DQ15" s="62">
        <f>DP15+(DP15*$DQ$9)</f>
      </c>
      <c r="DR15" s="62">
        <f>DQ15+(DQ15*$DR$9)</f>
      </c>
      <c r="DS15" s="62">
        <f>DR15+(DR15*$DS$9)</f>
      </c>
      <c r="DT15" s="62">
        <f>DS15+(DS15*$DT$9)</f>
      </c>
      <c r="DU15" s="62">
        <f>DT15+(DT15*$DU$9)</f>
      </c>
      <c r="DV15" s="62">
        <f>DU15+(DU15*$DV$9)</f>
      </c>
      <c r="DW15" s="62">
        <f>DV15+(DV15*$DW$9)</f>
      </c>
    </row>
    <row r="16" s="58" customFormat="1" ht="18" customHeight="1">
      <c r="B16" s="538"/>
      <c r="C16" s="539"/>
      <c r="D16" t="s" s="540">
        <f>LEFT(B16,1)</f>
      </c>
      <c r="E16" s="540">
        <f>IF(C16="",0,(IF(LEN(B16)=5,MID(B16,3,1),MID(B16,3,2))))</f>
        <v>0</v>
      </c>
      <c r="F16" s="540">
        <f>IF(Y16="H","House",IF(Y16="B","Bungalow",IF(Y16="F","Flat",IF(Y16="S","Shared",IF(Y16="T","Bedsit",IF(Y16="A","Wheelchair Flat",IF(Y16="W","Wheelchair",0)))))))</f>
        <v>0</v>
      </c>
      <c r="G16" s="539"/>
      <c r="H16" s="541"/>
      <c r="I16" s="541"/>
      <c r="J16" s="542">
        <f>IF(C16="",0,HLOOKUP($J$9,$CY$8:$DW$20,5,FALSE))</f>
        <v>0</v>
      </c>
      <c r="K16" s="543">
        <f>J16</f>
        <v>0</v>
      </c>
      <c r="L16" s="544">
        <f>K16*C16*52</f>
        <v>0</v>
      </c>
      <c r="W16" s="532">
        <f>SUM(((53.5*0.7)*(($AA$1/316.4)*X16)+SUM((53.5*0.3)*(H16/49750))))*1.021*1.043*1.022*1.022*1.033*1.036*1.032*1.041*1.044*1.055*0.991*1.051*1.061*1.031*1.037*1.022*0.99*0.99</f>
      </c>
      <c r="X16" s="182">
        <f>IF(D16="0",0.8,(IF(D16="1",0.9,(IF(D16="2",1,(IF(D16="3",1.1,(IF(D16="4",1.2,(IF(D16="5",1.3,1.4)))))))))))</f>
        <v>1.4</v>
      </c>
      <c r="Y16" t="s" s="62">
        <f>RIGHT(B16,1)</f>
      </c>
      <c r="Z16" t="s" s="88">
        <v>110</v>
      </c>
      <c r="AA16" t="s" s="533">
        <v>768</v>
      </c>
      <c r="AB16" s="547"/>
      <c r="AC16" s="534">
        <v>298</v>
      </c>
      <c r="AD16" t="s" s="535">
        <v>59</v>
      </c>
      <c r="AF16" t="s" s="88">
        <v>110</v>
      </c>
      <c r="AI16" t="s" s="90">
        <v>769</v>
      </c>
      <c r="AK16" s="512"/>
      <c r="AL16" t="s" s="554">
        <v>770</v>
      </c>
      <c r="AM16" s="514"/>
      <c r="AN16" s="514"/>
      <c r="AO16" s="555">
        <f>'Project Information'!H34</f>
        <v>0.004</v>
      </c>
      <c r="AP16" s="514"/>
      <c r="AQ16" s="537"/>
      <c r="AR16" s="552"/>
      <c r="AS16" s="553"/>
      <c r="AT16" s="556"/>
      <c r="CY16" s="532">
        <f>W16</f>
      </c>
      <c r="CZ16" s="62">
        <f>CY16+(CY16*$CZ$9)</f>
      </c>
      <c r="DA16" s="62">
        <f>CZ16+(CZ16*$DA$9)</f>
      </c>
      <c r="DB16" s="62">
        <f>DA16+(DA16*$DB$9)</f>
      </c>
      <c r="DC16" s="62">
        <f>DB16+(DB16*$DC$9)</f>
      </c>
      <c r="DD16" s="62">
        <f>DC16+(DC16*$DD$9)</f>
      </c>
      <c r="DE16" s="62">
        <f>DD16+(DD16*$DE$9)</f>
      </c>
      <c r="DF16" s="62">
        <f>DE16+(DE16*$DF$9)</f>
      </c>
      <c r="DG16" s="62">
        <f>DF16+(DF16*$DG$9)</f>
      </c>
      <c r="DH16" s="62">
        <f>DG16+(DG16*$DH$9)</f>
      </c>
      <c r="DI16" s="62">
        <f>DH16+(DH16*$DI$9)</f>
      </c>
      <c r="DJ16" s="62">
        <f>DI16+(DI16*$DJ$9)</f>
      </c>
      <c r="DK16" s="62">
        <f>DJ16+(DJ16*$DK$9)</f>
      </c>
      <c r="DL16" s="62">
        <f>DK16+(DK16*$DL$9)</f>
      </c>
      <c r="DM16" s="62">
        <f>DL16+(DL16*$DM$9)</f>
      </c>
      <c r="DN16" s="62">
        <f>DM16+(DM16*$DN$9)</f>
      </c>
      <c r="DO16" s="62">
        <f>DN16+(DN16*$DO$9)</f>
      </c>
      <c r="DP16" s="62">
        <f>DO16+(DO16*$DP$9)</f>
      </c>
      <c r="DQ16" s="62">
        <f>DP16+(DP16*$DQ$9)</f>
      </c>
      <c r="DR16" s="62">
        <f>DQ16+(DQ16*$DR$9)</f>
      </c>
      <c r="DS16" s="62">
        <f>DR16+(DR16*$DS$9)</f>
      </c>
      <c r="DT16" s="62">
        <f>DS16+(DS16*$DT$9)</f>
      </c>
      <c r="DU16" s="62">
        <f>DT16+(DT16*$DU$9)</f>
      </c>
      <c r="DV16" s="62">
        <f>DU16+(DU16*$DV$9)</f>
      </c>
      <c r="DW16" s="62">
        <f>DV16+(DV16*$DW$9)</f>
      </c>
    </row>
    <row r="17" s="58" customFormat="1" ht="18" customHeight="1">
      <c r="B17" s="538"/>
      <c r="C17" s="539"/>
      <c r="D17" t="s" s="540">
        <f>LEFT(B17,1)</f>
      </c>
      <c r="E17" s="540">
        <f>IF(C17="",0,(IF(LEN(B17)=5,MID(B17,3,1),MID(B17,3,2))))</f>
        <v>0</v>
      </c>
      <c r="F17" s="540">
        <f>IF(Y17="H","House",IF(Y17="B","Bungalow",IF(Y17="F","Flat",IF(Y17="S","Shared",IF(Y17="T","Bedsit",IF(Y17="A","Wheelchair Flat",IF(Y17="W","Wheelchair",0)))))))</f>
        <v>0</v>
      </c>
      <c r="G17" s="539"/>
      <c r="H17" s="541"/>
      <c r="I17" s="541"/>
      <c r="J17" s="542">
        <f>IF(C17="",0,HLOOKUP($J$9,$CY$8:$DW$20,5,FALSE))</f>
        <v>0</v>
      </c>
      <c r="K17" s="543">
        <f>J17</f>
        <v>0</v>
      </c>
      <c r="L17" s="544">
        <f>K17*C17*52</f>
        <v>0</v>
      </c>
      <c r="W17" s="532">
        <f>SUM(((53.5*0.7)*(($AA$1/316.4)*X17)+SUM((53.5*0.3)*(H17/49750))))*1.021*1.043*1.022*1.022*1.033*1.036*1.032*1.041*1.044*1.055*0.991*1.051*1.061*1.031*1.037*1.022*0.99*0.99</f>
      </c>
      <c r="X17" s="182">
        <f>IF(D17="0",0.8,(IF(D17="1",0.9,(IF(D17="2",1,(IF(D17="3",1.1,(IF(D17="4",1.2,(IF(D17="5",1.3,1.4)))))))))))</f>
        <v>1.4</v>
      </c>
      <c r="Y17" t="s" s="62">
        <f>RIGHT(B17,1)</f>
      </c>
      <c r="Z17" t="s" s="88">
        <v>114</v>
      </c>
      <c r="AA17" t="s" s="533">
        <v>771</v>
      </c>
      <c r="AB17" s="545"/>
      <c r="AC17" s="534">
        <v>316.4</v>
      </c>
      <c r="AD17" t="s" s="535">
        <v>67</v>
      </c>
      <c r="AF17" t="s" s="88">
        <v>114</v>
      </c>
      <c r="AI17" t="s" s="90">
        <v>772</v>
      </c>
      <c r="AK17" s="512"/>
      <c r="AL17" t="s" s="554">
        <v>773</v>
      </c>
      <c r="AM17" s="514"/>
      <c r="AN17" s="514"/>
      <c r="AO17" s="557">
        <f>C21</f>
        <v>0</v>
      </c>
      <c r="AP17" s="514"/>
      <c r="AQ17" s="537"/>
      <c r="AR17" s="552"/>
      <c r="AS17" s="553"/>
      <c r="AT17" s="515"/>
      <c r="CY17" s="532">
        <f>W17</f>
      </c>
      <c r="CZ17" s="62">
        <f>CY17+(CY17*$CZ$9)</f>
      </c>
      <c r="DA17" s="62">
        <f>CZ17+(CZ17*$DA$9)</f>
      </c>
      <c r="DB17" s="62">
        <f>DA17+(DA17*$DB$9)</f>
      </c>
      <c r="DC17" s="62">
        <f>DB17+(DB17*$DC$9)</f>
      </c>
      <c r="DD17" s="62">
        <f>DC17+(DC17*$DD$9)</f>
      </c>
      <c r="DE17" s="62">
        <f>DD17+(DD17*$DE$9)</f>
      </c>
      <c r="DF17" s="62">
        <f>DE17+(DE17*$DF$9)</f>
      </c>
      <c r="DG17" s="62">
        <f>DF17+(DF17*$DG$9)</f>
      </c>
      <c r="DH17" s="62">
        <f>DG17+(DG17*$DH$9)</f>
      </c>
      <c r="DI17" s="62">
        <f>DH17+(DH17*$DI$9)</f>
      </c>
      <c r="DJ17" s="62">
        <f>DI17+(DI17*$DJ$9)</f>
      </c>
      <c r="DK17" s="62">
        <f>DJ17+(DJ17*$DK$9)</f>
      </c>
      <c r="DL17" s="62">
        <f>DK17+(DK17*$DL$9)</f>
      </c>
      <c r="DM17" s="62">
        <f>DL17+(DL17*$DM$9)</f>
      </c>
      <c r="DN17" s="62">
        <f>DM17+(DM17*$DN$9)</f>
      </c>
      <c r="DO17" s="62">
        <f>DN17+(DN17*$DO$9)</f>
      </c>
      <c r="DP17" s="62">
        <f>DO17+(DO17*$DP$9)</f>
      </c>
      <c r="DQ17" s="62">
        <f>DP17+(DP17*$DQ$9)</f>
      </c>
      <c r="DR17" s="62">
        <f>DQ17+(DQ17*$DR$9)</f>
      </c>
      <c r="DS17" s="62">
        <f>DR17+(DR17*$DS$9)</f>
      </c>
      <c r="DT17" s="62">
        <f>DS17+(DS17*$DT$9)</f>
      </c>
      <c r="DU17" s="62">
        <f>DT17+(DT17*$DU$9)</f>
      </c>
      <c r="DV17" s="62">
        <f>DU17+(DU17*$DV$9)</f>
      </c>
      <c r="DW17" s="62">
        <f>DV17+(DV17*$DW$9)</f>
      </c>
    </row>
    <row r="18" s="58" customFormat="1" ht="18" customHeight="1">
      <c r="B18" s="538"/>
      <c r="C18" s="539"/>
      <c r="D18" t="s" s="540">
        <f>LEFT(B18,1)</f>
      </c>
      <c r="E18" s="540">
        <f>IF(C18="",0,(IF(LEN(B18)=5,MID(B18,3,1),MID(B18,3,2))))</f>
        <v>0</v>
      </c>
      <c r="F18" s="540">
        <f>IF(Y18="H","House",IF(Y18="B","Bungalow",IF(Y18="F","Flat",IF(Y18="S","Shared",IF(Y18="T","Bedsit",IF(Y18="A","Wheelchair Flat",IF(Y18="W","Wheelchair",0)))))))</f>
        <v>0</v>
      </c>
      <c r="G18" s="539"/>
      <c r="H18" s="541"/>
      <c r="I18" s="541"/>
      <c r="J18" s="542">
        <f>IF(C18="",0,HLOOKUP($J$9,$CY$8:$DW$20,5,FALSE))</f>
        <v>0</v>
      </c>
      <c r="K18" s="543">
        <f>J18</f>
        <v>0</v>
      </c>
      <c r="L18" s="544">
        <f>K18*C18*52</f>
        <v>0</v>
      </c>
      <c r="W18" s="532">
        <f>SUM(((53.5*0.7)*(($AA$1/316.4)*X18)+SUM((53.5*0.3)*(H18/49750))))*1.021*1.043*1.022*1.022*1.033*1.036*1.032*1.041*1.044*1.055*0.991*1.051*1.061*1.031*1.037*1.022*0.99*0.99</f>
      </c>
      <c r="X18" s="182">
        <f>IF(D18="0",0.8,(IF(D18="1",0.9,(IF(D18="2",1,(IF(D18="3",1.1,(IF(D18="4",1.2,(IF(D18="5",1.3,1.4)))))))))))</f>
        <v>1.4</v>
      </c>
      <c r="Y18" t="s" s="62">
        <f>RIGHT(B18,1)</f>
      </c>
      <c r="Z18" t="s" s="88">
        <v>118</v>
      </c>
      <c r="AA18" t="s" s="533">
        <v>774</v>
      </c>
      <c r="AB18" s="547"/>
      <c r="AC18" s="534">
        <v>328.3</v>
      </c>
      <c r="AD18" t="s" s="535">
        <v>67</v>
      </c>
      <c r="AF18" t="s" s="88">
        <v>118</v>
      </c>
      <c r="AI18" t="s" s="90">
        <v>775</v>
      </c>
      <c r="AK18" s="512"/>
      <c r="AL18" t="s" s="554">
        <v>776</v>
      </c>
      <c r="AM18" s="514"/>
      <c r="AN18" s="514"/>
      <c r="AO18" s="558">
        <f>K21</f>
      </c>
      <c r="AP18" s="514"/>
      <c r="AQ18" s="537"/>
      <c r="AR18" s="552"/>
      <c r="AS18" s="553"/>
      <c r="AT18" s="515"/>
      <c r="CY18" s="532">
        <f>W18</f>
      </c>
      <c r="CZ18" s="62">
        <f>CY18+(CY18*$CZ$9)</f>
      </c>
      <c r="DA18" s="62">
        <f>CZ18+(CZ18*$DA$9)</f>
      </c>
      <c r="DB18" s="62">
        <f>DA18+(DA18*$DB$9)</f>
      </c>
      <c r="DC18" s="62">
        <f>DB18+(DB18*$DC$9)</f>
      </c>
      <c r="DD18" s="62">
        <f>DC18+(DC18*$DD$9)</f>
      </c>
      <c r="DE18" s="62">
        <f>DD18+(DD18*$DE$9)</f>
      </c>
      <c r="DF18" s="62">
        <f>DE18+(DE18*$DF$9)</f>
      </c>
      <c r="DG18" s="62">
        <f>DF18+(DF18*$DG$9)</f>
      </c>
      <c r="DH18" s="62">
        <f>DG18+(DG18*$DH$9)</f>
      </c>
      <c r="DI18" s="62">
        <f>DH18+(DH18*$DI$9)</f>
      </c>
      <c r="DJ18" s="62">
        <f>DI18+(DI18*$DJ$9)</f>
      </c>
      <c r="DK18" s="62">
        <f>DJ18+(DJ18*$DK$9)</f>
      </c>
      <c r="DL18" s="62">
        <f>DK18+(DK18*$DL$9)</f>
      </c>
      <c r="DM18" s="62">
        <f>DL18+(DL18*$DM$9)</f>
      </c>
      <c r="DN18" s="62">
        <f>DM18+(DM18*$DN$9)</f>
      </c>
      <c r="DO18" s="62">
        <f>DN18+(DN18*$DO$9)</f>
      </c>
      <c r="DP18" s="62">
        <f>DO18+(DO18*$DP$9)</f>
      </c>
      <c r="DQ18" s="62">
        <f>DP18+(DP18*$DQ$9)</f>
      </c>
      <c r="DR18" s="62">
        <f>DQ18+(DQ18*$DR$9)</f>
      </c>
      <c r="DS18" s="62">
        <f>DR18+(DR18*$DS$9)</f>
      </c>
      <c r="DT18" s="62">
        <f>DS18+(DS18*$DT$9)</f>
      </c>
      <c r="DU18" s="62">
        <f>DT18+(DT18*$DU$9)</f>
      </c>
      <c r="DV18" s="62">
        <f>DU18+(DU18*$DV$9)</f>
      </c>
      <c r="DW18" s="62">
        <f>DV18+(DV18*$DW$9)</f>
      </c>
    </row>
    <row r="19" s="58" customFormat="1" ht="18" customHeight="1">
      <c r="B19" s="538"/>
      <c r="C19" s="539"/>
      <c r="D19" t="s" s="540">
        <f>LEFT(B19,1)</f>
      </c>
      <c r="E19" s="540">
        <f>IF(C19="",0,(IF(LEN(B19)=5,MID(B19,3,1),MID(B19,3,2))))</f>
        <v>0</v>
      </c>
      <c r="F19" s="540">
        <f>IF(Y19="H","House",IF(Y19="B","Bungalow",IF(Y19="F","Flat",IF(Y19="S","Shared",IF(Y19="T","Bedsit",IF(Y19="A","Wheelchair Flat",IF(Y19="W","Wheelchair",0)))))))</f>
        <v>0</v>
      </c>
      <c r="G19" s="539"/>
      <c r="H19" s="541"/>
      <c r="I19" s="541"/>
      <c r="J19" s="542">
        <f>IF(C19="",0,HLOOKUP($J$9,$CY$8:$DW$20,5,FALSE))</f>
        <v>0</v>
      </c>
      <c r="K19" s="543">
        <f>J19</f>
        <v>0</v>
      </c>
      <c r="L19" s="544">
        <f>K19*C19*52</f>
        <v>0</v>
      </c>
      <c r="W19" s="532">
        <f>SUM(((53.5*0.7)*(($AA$1/316.4)*X19)+SUM((53.5*0.3)*(H19/49750))))*1.021*1.043*1.022*1.022*1.033*1.036*1.032*1.041*1.044*1.055*0.991*1.051*1.061*1.031*1.037*1.022*0.99*0.99</f>
      </c>
      <c r="X19" s="182">
        <f>IF(D19="0",0.8,(IF(D19="1",0.9,(IF(D19="2",1,(IF(D19="3",1.1,(IF(D19="4",1.2,(IF(D19="5",1.3,1.4)))))))))))</f>
        <v>1.4</v>
      </c>
      <c r="Y19" t="s" s="62">
        <f>RIGHT(B19,1)</f>
      </c>
      <c r="Z19" t="s" s="88">
        <v>121</v>
      </c>
      <c r="AA19" t="s" s="533">
        <v>777</v>
      </c>
      <c r="AB19" s="545"/>
      <c r="AC19" s="534">
        <v>304.3</v>
      </c>
      <c r="AD19" t="s" s="535">
        <v>778</v>
      </c>
      <c r="AF19" t="s" s="88">
        <v>121</v>
      </c>
      <c r="AI19" t="s" s="90">
        <v>779</v>
      </c>
      <c r="AK19" s="512"/>
      <c r="AL19" t="s" s="554">
        <v>780</v>
      </c>
      <c r="AM19" s="514"/>
      <c r="AN19" s="514"/>
      <c r="AO19" s="559">
        <f>'Project Information'!H35</f>
        <v>0.02</v>
      </c>
      <c r="AP19" s="514"/>
      <c r="AQ19" s="537"/>
      <c r="AR19" s="552"/>
      <c r="AS19" s="553"/>
      <c r="AT19" s="515"/>
      <c r="CY19" s="532">
        <f>W19</f>
      </c>
      <c r="CZ19" s="62">
        <f>CY19+(CY19*$CZ$9)</f>
      </c>
      <c r="DA19" s="62">
        <f>CZ19+(CZ19*$DA$9)</f>
      </c>
      <c r="DB19" s="62">
        <f>DA19+(DA19*$DB$9)</f>
      </c>
      <c r="DC19" s="62">
        <f>DB19+(DB19*$DC$9)</f>
      </c>
      <c r="DD19" s="62">
        <f>DC19+(DC19*$DD$9)</f>
      </c>
      <c r="DE19" s="62">
        <f>DD19+(DD19*$DE$9)</f>
      </c>
      <c r="DF19" s="62">
        <f>DE19+(DE19*$DF$9)</f>
      </c>
      <c r="DG19" s="62">
        <f>DF19+(DF19*$DG$9)</f>
      </c>
      <c r="DH19" s="62">
        <f>DG19+(DG19*$DH$9)</f>
      </c>
      <c r="DI19" s="62">
        <f>DH19+(DH19*$DI$9)</f>
      </c>
      <c r="DJ19" s="62">
        <f>DI19+(DI19*$DJ$9)</f>
      </c>
      <c r="DK19" s="62">
        <f>DJ19+(DJ19*$DK$9)</f>
      </c>
      <c r="DL19" s="62">
        <f>DK19+(DK19*$DL$9)</f>
      </c>
      <c r="DM19" s="62">
        <f>DL19+(DL19*$DM$9)</f>
      </c>
      <c r="DN19" s="62">
        <f>DM19+(DM19*$DN$9)</f>
      </c>
      <c r="DO19" s="62">
        <f>DN19+(DN19*$DO$9)</f>
      </c>
      <c r="DP19" s="62">
        <f>DO19+(DO19*$DP$9)</f>
      </c>
      <c r="DQ19" s="62">
        <f>DP19+(DP19*$DQ$9)</f>
      </c>
      <c r="DR19" s="62">
        <f>DQ19+(DQ19*$DR$9)</f>
      </c>
      <c r="DS19" s="62">
        <f>DR19+(DR19*$DS$9)</f>
      </c>
      <c r="DT19" s="62">
        <f>DS19+(DS19*$DT$9)</f>
      </c>
      <c r="DU19" s="62">
        <f>DT19+(DT19*$DU$9)</f>
      </c>
      <c r="DV19" s="62">
        <f>DU19+(DU19*$DV$9)</f>
      </c>
      <c r="DW19" s="62">
        <f>DV19+(DV19*$DW$9)</f>
      </c>
    </row>
    <row r="20" s="58" customFormat="1" ht="18" customHeight="1">
      <c r="B20" s="538"/>
      <c r="C20" s="560"/>
      <c r="D20" t="s" s="540">
        <f>LEFT(B20,1)</f>
      </c>
      <c r="E20" s="561">
        <f>IF(C20="",0,(IF(LEN(B20)=5,MID(B20,3,1),MID(B20,3,2))))</f>
        <v>0</v>
      </c>
      <c r="F20" s="540">
        <f>IF(Y20="H","House",IF(Y20="B","Bungalow",IF(Y20="F","Flat",IF(Y20="S","Shared",IF(Y20="T","Bedsit",IF(Y20="A","Wheelchair Flat",IF(Y20="W","Wheelchair",0)))))))</f>
        <v>0</v>
      </c>
      <c r="G20" s="560"/>
      <c r="H20" s="541"/>
      <c r="I20" s="562"/>
      <c r="J20" s="542">
        <f>IF(C20="",0,HLOOKUP($J$9,$CY$8:$DW$20,5,FALSE))</f>
        <v>0</v>
      </c>
      <c r="K20" s="563">
        <f>J20</f>
        <v>0</v>
      </c>
      <c r="L20" s="564">
        <f>K20*C20*52</f>
        <v>0</v>
      </c>
      <c r="W20" s="532">
        <f>SUM(((53.5*0.7)*(($AA$1/316.4)*X20)+SUM((53.5*0.3)*(H20/49750))))*1.021*1.043*1.022*1.022*1.033*1.036*1.032*1.041*1.044*1.055*0.991*1.051*1.061*1.031*1.037*1.022*0.99*0.99</f>
      </c>
      <c r="X20" s="182">
        <f>IF(D20="0",0.8,(IF(D20="1",0.9,(IF(D20="2",1,(IF(D20="3",1.1,(IF(D20="4",1.2,(IF(D20="5",1.3,1.4)))))))))))</f>
        <v>1.4</v>
      </c>
      <c r="Y20" t="s" s="62">
        <f>RIGHT(B20,1)</f>
      </c>
      <c r="Z20" t="s" s="88">
        <v>125</v>
      </c>
      <c r="AA20" t="s" s="533">
        <v>781</v>
      </c>
      <c r="AB20" s="547"/>
      <c r="AC20" s="534">
        <v>354.1</v>
      </c>
      <c r="AD20" t="s" s="535">
        <v>782</v>
      </c>
      <c r="AF20" t="s" s="88">
        <v>125</v>
      </c>
      <c r="AI20" t="s" s="90">
        <v>783</v>
      </c>
      <c r="AK20" s="512"/>
      <c r="AL20" t="s" s="554">
        <v>784</v>
      </c>
      <c r="AM20" s="514"/>
      <c r="AN20" s="514"/>
      <c r="AO20" s="565">
        <f>'Project Information'!H32</f>
        <v>424</v>
      </c>
      <c r="AP20" s="549"/>
      <c r="AQ20" s="537"/>
      <c r="AR20" s="552"/>
      <c r="AS20" s="553"/>
      <c r="AT20" s="515"/>
      <c r="CY20" s="532">
        <f>W20</f>
      </c>
      <c r="CZ20" s="62">
        <f>CY20+(CY20*$CZ$9)</f>
      </c>
      <c r="DA20" s="62">
        <f>CZ20+(CZ20*$DA$9)</f>
      </c>
      <c r="DB20" s="62">
        <f>DA20+(DA20*$DB$9)</f>
      </c>
      <c r="DC20" s="62">
        <f>DB20+(DB20*$DC$9)</f>
      </c>
      <c r="DD20" s="62">
        <f>DC20+(DC20*$DD$9)</f>
      </c>
      <c r="DE20" s="62">
        <f>DD20+(DD20*$DE$9)</f>
      </c>
      <c r="DF20" s="62">
        <f>DE20+(DE20*$DF$9)</f>
      </c>
      <c r="DG20" s="62">
        <f>DF20+(DF20*$DG$9)</f>
      </c>
      <c r="DH20" s="62">
        <f>DG20+(DG20*$DH$9)</f>
      </c>
      <c r="DI20" s="62">
        <f>DH20+(DH20*$DI$9)</f>
      </c>
      <c r="DJ20" s="62">
        <f>DI20+(DI20*$DJ$9)</f>
      </c>
      <c r="DK20" s="62">
        <f>DJ20+(DJ20*$DK$9)</f>
      </c>
      <c r="DL20" s="62">
        <f>DK20+(DK20*$DL$9)</f>
      </c>
      <c r="DM20" s="62">
        <f>DL20+(DL20*$DM$9)</f>
      </c>
      <c r="DN20" s="62">
        <f>DM20+(DM20*$DN$9)</f>
      </c>
      <c r="DO20" s="62">
        <f>DN20+(DN20*$DO$9)</f>
      </c>
      <c r="DP20" s="62">
        <f>DO20+(DO20*$DP$9)</f>
      </c>
      <c r="DQ20" s="62">
        <f>DP20+(DP20*$DQ$9)</f>
      </c>
      <c r="DR20" s="62">
        <f>DQ20+(DQ20*$DR$9)</f>
      </c>
      <c r="DS20" s="62">
        <f>DR20+(DR20*$DS$9)</f>
      </c>
      <c r="DT20" s="62">
        <f>DS20+(DS20*$DT$9)</f>
      </c>
      <c r="DU20" s="62">
        <f>DT20+(DT20*$DU$9)</f>
      </c>
      <c r="DV20" s="62">
        <f>DU20+(DU20*$DV$9)</f>
      </c>
      <c r="DW20" s="62">
        <f>DV20+(DV20*$DW$9)</f>
      </c>
    </row>
    <row r="21" s="58" customFormat="1" ht="18" customHeight="1">
      <c r="B21" t="s" s="566">
        <v>785</v>
      </c>
      <c r="C21" s="567">
        <f>SUM(C11:C20)</f>
        <v>0</v>
      </c>
      <c r="D21" t="s" s="568">
        <v>786</v>
      </c>
      <c r="E21" s="567">
        <f>($C$11*E11)+($C$12*E12)+($C$13*E13)+($C$14*E14)+($C$15*E15)+($C$16*E16)+($C$17*E17)+($C$18*E18)+($C$19*E19)+($C$20*E20)</f>
        <v>0</v>
      </c>
      <c r="G21" s="569">
        <f>($C$11*G11)+($C$12*G12)+($C$13*G13)+($C$14*G14)+($C$15*G15)+($C$16*G16)+($C$17*G17)+($C$18*G18)+($C$19*G19)+($C$20*G20)</f>
        <v>0</v>
      </c>
      <c r="I21" s="569">
        <f>($C$11*I11)+($C$12*I12)+($C$13*I13)+($C$14*I14)+($C$15*I15)+($C$16*I16)+($C$17*I17)+($C$18*I18)+($C$19*I19)+($C$20*I20)</f>
        <v>0</v>
      </c>
      <c r="J21" t="s" s="570">
        <v>787</v>
      </c>
      <c r="K21" s="571">
        <f>((L21/C21)/52)</f>
      </c>
      <c r="L21" s="572">
        <f>SUM(L11:L20)</f>
        <v>0</v>
      </c>
      <c r="P21" t="s" s="62">
        <f>IF(C21&gt;0,SUM(H11:H20)/SUM(I11:I20),"")</f>
      </c>
      <c r="S21" s="573">
        <f>ROUND(((($C$11*J11*52)+($C$12*J12*52)+($C$13*J13*52)+($C$14*J14*52)+($C$15*J15*52)+($C$16*J16*52)+($C$17*J17*52)+($C$18*J18*52)+($C$19*J19*52)+($C$20*J20*52)+($C$22*J22*52))/C21/52),2)</f>
      </c>
      <c r="W21" s="532"/>
      <c r="X21" s="108"/>
      <c r="Z21" t="s" s="88">
        <v>128</v>
      </c>
      <c r="AA21" t="s" s="533">
        <v>781</v>
      </c>
      <c r="AB21" s="547"/>
      <c r="AC21" s="534">
        <v>354.1</v>
      </c>
      <c r="AD21" t="s" s="535">
        <v>782</v>
      </c>
      <c r="AF21" t="s" s="88">
        <v>128</v>
      </c>
      <c r="AI21" t="s" s="90">
        <v>788</v>
      </c>
      <c r="AK21" s="512"/>
      <c r="AL21" t="s" s="554">
        <v>789</v>
      </c>
      <c r="AM21" s="514"/>
      <c r="AN21" s="514"/>
      <c r="AO21" s="565">
        <f>'Project Information'!H33</f>
        <v>768</v>
      </c>
      <c r="AP21" s="549"/>
      <c r="AQ21" s="537"/>
      <c r="AR21" s="552"/>
      <c r="AS21" s="553"/>
      <c r="AT21" s="515"/>
    </row>
    <row r="22" s="58" customFormat="1" ht="18" customHeight="1">
      <c r="J22" s="574"/>
      <c r="W22" s="532"/>
      <c r="X22" s="108"/>
      <c r="Z22" t="s" s="88">
        <v>132</v>
      </c>
      <c r="AA22" t="s" s="533">
        <v>790</v>
      </c>
      <c r="AB22" s="547"/>
      <c r="AC22" s="534">
        <v>299.1</v>
      </c>
      <c r="AD22" t="s" s="535">
        <v>791</v>
      </c>
      <c r="AF22" t="s" s="88">
        <v>132</v>
      </c>
      <c r="AI22" t="s" s="90">
        <v>792</v>
      </c>
      <c r="AK22" s="512"/>
      <c r="AL22" t="s" s="554">
        <v>793</v>
      </c>
      <c r="AM22" s="514"/>
      <c r="AN22" s="514"/>
      <c r="AO22" s="565">
        <f>IF(C21=0,0,(AO16*('Summary'!D23+'Summary'!D24)/'Summary'!E16)*-1)</f>
        <v>0</v>
      </c>
      <c r="AP22" s="514"/>
      <c r="AQ22" s="537"/>
      <c r="AR22" s="552"/>
      <c r="AS22" s="553"/>
      <c r="AT22" s="515"/>
    </row>
    <row r="23" s="58" customFormat="1" ht="18" customHeight="1" hidden="1">
      <c r="W23" s="532"/>
      <c r="X23" s="108"/>
      <c r="Z23" t="s" s="88">
        <v>135</v>
      </c>
      <c r="AA23" t="s" s="533">
        <v>761</v>
      </c>
      <c r="AB23" s="547"/>
      <c r="AC23" s="534">
        <v>323.7</v>
      </c>
      <c r="AD23" t="s" s="535">
        <v>65</v>
      </c>
      <c r="AF23" t="s" s="88">
        <v>135</v>
      </c>
      <c r="AI23" t="s" s="90">
        <v>794</v>
      </c>
      <c r="AK23" s="512"/>
      <c r="AL23" t="s" s="554">
        <v>795</v>
      </c>
      <c r="AM23" s="514"/>
      <c r="AN23" s="514"/>
      <c r="AO23" s="555">
        <f>'Project Information'!H43</f>
        <v>0.03</v>
      </c>
      <c r="AP23" s="514"/>
      <c r="AQ23" s="514"/>
      <c r="AR23" s="552"/>
      <c r="AS23" s="514"/>
      <c r="AT23" s="515"/>
    </row>
    <row r="24" s="58" customFormat="1" ht="15" customHeight="1" hidden="1">
      <c r="E24" s="160"/>
      <c r="W24" s="532"/>
      <c r="X24" s="108"/>
      <c r="Z24" t="s" s="88">
        <v>138</v>
      </c>
      <c r="AA24" t="s" s="533">
        <v>796</v>
      </c>
      <c r="AB24" s="545"/>
      <c r="AC24" s="534">
        <v>325.9</v>
      </c>
      <c r="AD24" t="s" s="535">
        <v>778</v>
      </c>
      <c r="AF24" t="s" s="88">
        <v>138</v>
      </c>
      <c r="AI24" t="s" s="90">
        <v>797</v>
      </c>
      <c r="AK24" s="512"/>
      <c r="AL24" t="s" s="575">
        <v>798</v>
      </c>
      <c r="AM24" s="514"/>
      <c r="AN24" s="514"/>
      <c r="AO24" s="555">
        <f>'Project Information'!H44</f>
        <v>0.03</v>
      </c>
      <c r="AP24" s="514"/>
      <c r="AQ24" s="514"/>
      <c r="AR24" s="176"/>
      <c r="AS24" s="514"/>
      <c r="AT24" s="515"/>
    </row>
    <row r="25" s="58" customFormat="1" ht="15" customHeight="1" hidden="1">
      <c r="E25" s="237"/>
      <c r="F25" s="237"/>
      <c r="G25" s="237"/>
      <c r="H25" s="237"/>
      <c r="I25" s="237"/>
      <c r="W25" s="532"/>
      <c r="X25" s="108"/>
      <c r="Z25" t="s" s="88">
        <v>142</v>
      </c>
      <c r="AA25" t="s" s="533">
        <v>799</v>
      </c>
      <c r="AB25" s="545"/>
      <c r="AC25" s="534">
        <v>328.7</v>
      </c>
      <c r="AD25" t="s" s="535">
        <v>67</v>
      </c>
      <c r="AF25" t="s" s="88">
        <v>142</v>
      </c>
      <c r="AI25" t="s" s="90">
        <v>800</v>
      </c>
      <c r="AK25" s="512"/>
      <c r="AL25" t="s" s="575">
        <v>801</v>
      </c>
      <c r="AM25" s="514"/>
      <c r="AN25" s="514"/>
      <c r="AO25" s="555">
        <f>'Project Information'!H45</f>
        <v>0.03</v>
      </c>
      <c r="AP25" s="514"/>
      <c r="AQ25" s="514"/>
      <c r="AR25" s="576">
        <f>AH15</f>
        <v>0</v>
      </c>
      <c r="AS25" s="577"/>
      <c r="AT25" s="515"/>
    </row>
    <row r="26" s="58" customFormat="1" ht="15" customHeight="1" hidden="1">
      <c r="E26" s="578"/>
      <c r="F26" s="579"/>
      <c r="G26" s="579"/>
      <c r="H26" s="579"/>
      <c r="I26" s="579"/>
      <c r="W26" s="532"/>
      <c r="X26" s="108"/>
      <c r="Z26" t="s" s="88">
        <v>146</v>
      </c>
      <c r="AA26" t="s" s="533">
        <v>768</v>
      </c>
      <c r="AB26" s="545"/>
      <c r="AC26" s="534">
        <v>298</v>
      </c>
      <c r="AD26" t="s" s="535">
        <v>59</v>
      </c>
      <c r="AF26" t="s" s="88">
        <v>146</v>
      </c>
      <c r="AI26" t="s" s="90">
        <v>802</v>
      </c>
      <c r="AK26" s="512"/>
      <c r="AL26" t="s" s="575">
        <v>803</v>
      </c>
      <c r="AM26" s="514"/>
      <c r="AN26" s="514"/>
      <c r="AO26" s="555">
        <f>'Project Information'!H45</f>
        <v>0.03</v>
      </c>
      <c r="AP26" s="514"/>
      <c r="AQ26" s="514"/>
      <c r="AR26" s="514"/>
      <c r="AS26" s="514"/>
      <c r="AT26" s="515"/>
    </row>
    <row r="27" s="58" customFormat="1" ht="15" customHeight="1" hidden="1">
      <c r="B27" s="580"/>
      <c r="C27" s="580"/>
      <c r="E27" s="578"/>
      <c r="F27" s="581"/>
      <c r="G27" s="581"/>
      <c r="H27" s="581"/>
      <c r="I27" s="582"/>
      <c r="W27" s="532"/>
      <c r="X27" s="108"/>
      <c r="Z27" t="s" s="88">
        <v>150</v>
      </c>
      <c r="AA27" t="s" s="533">
        <v>804</v>
      </c>
      <c r="AC27" s="534">
        <v>321.2</v>
      </c>
      <c r="AD27" t="s" s="535">
        <v>71</v>
      </c>
      <c r="AF27" t="s" s="88">
        <v>150</v>
      </c>
      <c r="AI27" t="s" s="90">
        <v>805</v>
      </c>
      <c r="AK27" s="512"/>
      <c r="AL27" t="s" s="554">
        <v>806</v>
      </c>
      <c r="AM27" s="514"/>
      <c r="AN27" s="514"/>
      <c r="AO27" s="557">
        <v>60</v>
      </c>
      <c r="AP27" s="514"/>
      <c r="AQ27" s="514"/>
      <c r="AR27" s="514"/>
      <c r="AS27" s="514"/>
      <c r="AT27" s="515"/>
    </row>
    <row r="28" s="58" customFormat="1" ht="15" customHeight="1" hidden="1">
      <c r="B28" s="583"/>
      <c r="C28" s="583"/>
      <c r="E28" s="578"/>
      <c r="F28" s="581"/>
      <c r="G28" s="581"/>
      <c r="H28" s="581"/>
      <c r="I28" s="582"/>
      <c r="W28" s="532"/>
      <c r="X28" s="108"/>
      <c r="Z28" t="s" s="88">
        <v>154</v>
      </c>
      <c r="AA28" t="s" s="533">
        <v>807</v>
      </c>
      <c r="AC28" s="534">
        <v>343.7</v>
      </c>
      <c r="AD28" t="s" s="535">
        <v>778</v>
      </c>
      <c r="AF28" t="s" s="88">
        <v>154</v>
      </c>
      <c r="AI28" t="s" s="90">
        <v>808</v>
      </c>
      <c r="AK28" s="512"/>
      <c r="AL28" t="s" s="554">
        <v>809</v>
      </c>
      <c r="AM28" s="514"/>
      <c r="AN28" s="514"/>
      <c r="AO28" s="555">
        <f>'Project Information'!H29</f>
        <v>0.06</v>
      </c>
      <c r="AP28" s="514"/>
      <c r="AQ28" s="514"/>
      <c r="AR28" s="514"/>
      <c r="AS28" s="514"/>
      <c r="AT28" s="515"/>
      <c r="AV28" t="s" s="62">
        <v>810</v>
      </c>
      <c r="AW28" t="s" s="62">
        <v>811</v>
      </c>
      <c r="AY28" s="113">
        <f>$AL37</f>
        <v>0</v>
      </c>
      <c r="AZ28" s="113">
        <f>$AL38</f>
        <v>0</v>
      </c>
      <c r="BA28" s="113">
        <f>$AL39</f>
        <v>0</v>
      </c>
      <c r="BB28" s="113">
        <f>$AL40</f>
        <v>0</v>
      </c>
      <c r="BC28" s="113">
        <f>$AL41</f>
        <v>0</v>
      </c>
      <c r="BD28" s="113">
        <f>$AL42</f>
        <v>0</v>
      </c>
      <c r="BE28" s="113">
        <f>$AL43</f>
        <v>0</v>
      </c>
      <c r="BF28" s="113">
        <f>$AL44</f>
        <v>0</v>
      </c>
      <c r="BG28" s="113">
        <f>$AL45</f>
        <v>0</v>
      </c>
      <c r="BH28" s="113">
        <f>$AL46</f>
        <v>0</v>
      </c>
      <c r="BI28" s="113">
        <f>$AL47</f>
        <v>0</v>
      </c>
      <c r="BJ28" s="113">
        <f>$AL48</f>
        <v>0</v>
      </c>
      <c r="BK28" s="113">
        <f>$AL49</f>
        <v>0</v>
      </c>
      <c r="BL28" s="113">
        <f>$AL50</f>
        <v>0</v>
      </c>
      <c r="BM28" s="113">
        <f>$AL51</f>
        <v>0</v>
      </c>
      <c r="BN28" s="113">
        <f>$AL52</f>
        <v>0</v>
      </c>
      <c r="BO28" s="113">
        <f>$AL53</f>
        <v>0</v>
      </c>
      <c r="BP28" s="113">
        <f>$AL54</f>
        <v>0</v>
      </c>
      <c r="BQ28" s="113">
        <f>$AL55</f>
        <v>0</v>
      </c>
      <c r="BR28" s="113">
        <f>$AL56</f>
        <v>0</v>
      </c>
      <c r="BS28" s="113">
        <f>$AL57</f>
        <v>0</v>
      </c>
      <c r="BT28" s="113">
        <f>$AL58</f>
        <v>0</v>
      </c>
      <c r="BU28" s="113">
        <f>$AL59</f>
        <v>0</v>
      </c>
      <c r="BV28" s="113">
        <f>$AL60</f>
        <v>0</v>
      </c>
      <c r="BW28" s="113">
        <f>$AL61</f>
        <v>0</v>
      </c>
      <c r="BX28" s="113">
        <f>$AL62</f>
        <v>0</v>
      </c>
      <c r="BY28" s="113">
        <f>$AL63</f>
        <v>0</v>
      </c>
      <c r="BZ28" s="113">
        <f>$AL64</f>
        <v>0</v>
      </c>
      <c r="CA28" s="113">
        <f>$AL65</f>
        <v>0</v>
      </c>
      <c r="CB28" s="113">
        <f>$AL66</f>
        <v>0</v>
      </c>
      <c r="CC28" s="113">
        <f>$AL67</f>
        <v>0</v>
      </c>
      <c r="CD28" s="113">
        <f>$AL68</f>
        <v>0</v>
      </c>
      <c r="CE28" s="113">
        <f>$AL69</f>
        <v>0</v>
      </c>
      <c r="CF28" s="113">
        <f>$AL70</f>
        <v>0</v>
      </c>
      <c r="CG28" s="113">
        <f>$AL71</f>
        <v>0</v>
      </c>
      <c r="CH28" s="113">
        <f>$AL72</f>
        <v>0</v>
      </c>
      <c r="CI28" s="113">
        <f>$AL73</f>
        <v>0</v>
      </c>
      <c r="CJ28" s="113">
        <f>$AL74</f>
        <v>0</v>
      </c>
      <c r="CK28" s="113">
        <f>$AL75</f>
        <v>0</v>
      </c>
      <c r="CL28" s="113">
        <f>$AL76</f>
        <v>0</v>
      </c>
      <c r="CM28" s="113">
        <f>$AL77</f>
        <v>0</v>
      </c>
      <c r="CN28" s="113">
        <f>$AL78</f>
        <v>0</v>
      </c>
      <c r="CO28" s="113">
        <f>$AL79</f>
        <v>0</v>
      </c>
      <c r="CP28" s="113">
        <f>$AL80</f>
        <v>0</v>
      </c>
      <c r="CQ28" s="113">
        <f>$AL81</f>
        <v>0</v>
      </c>
      <c r="CR28" s="113">
        <f>$AL82</f>
        <v>0</v>
      </c>
      <c r="CS28" s="113">
        <f>$AL83</f>
        <v>0</v>
      </c>
      <c r="CT28" s="113">
        <f>$AL84</f>
        <v>0</v>
      </c>
      <c r="CU28" s="113">
        <f>$AL85</f>
        <v>0</v>
      </c>
      <c r="CV28" s="113">
        <f>$AL86</f>
        <v>0</v>
      </c>
      <c r="CW28" s="113"/>
      <c r="CX28" s="113"/>
      <c r="CY28" s="113"/>
      <c r="CZ28" s="113"/>
      <c r="DA28" s="113"/>
      <c r="DB28" s="113"/>
      <c r="DC28" s="113"/>
      <c r="DD28" s="113"/>
      <c r="DE28" s="113"/>
      <c r="DF28" s="113"/>
    </row>
    <row r="29" s="58" customFormat="1" ht="15" customHeight="1" hidden="1">
      <c r="B29" s="583"/>
      <c r="C29" s="583"/>
      <c r="E29" s="578"/>
      <c r="F29" s="581"/>
      <c r="G29" s="581"/>
      <c r="H29" s="581"/>
      <c r="I29" s="582"/>
      <c r="W29" s="532"/>
      <c r="X29" s="108"/>
      <c r="Z29" t="s" s="88">
        <v>157</v>
      </c>
      <c r="AA29" t="s" s="533">
        <v>763</v>
      </c>
      <c r="AC29" s="534">
        <v>276.1</v>
      </c>
      <c r="AD29" t="s" s="535">
        <v>63</v>
      </c>
      <c r="AF29" t="s" s="88">
        <v>157</v>
      </c>
      <c r="AI29" t="s" s="90">
        <v>812</v>
      </c>
      <c r="AK29" s="512"/>
      <c r="AL29" s="549"/>
      <c r="AM29" s="514"/>
      <c r="AN29" s="514"/>
      <c r="AO29" s="555"/>
      <c r="AP29" s="514"/>
      <c r="AQ29" s="514"/>
      <c r="AR29" s="514"/>
      <c r="AS29" s="514"/>
      <c r="AT29" s="515"/>
      <c r="AV29" t="s" s="62">
        <v>175</v>
      </c>
      <c r="AY29" s="113">
        <f>AM37</f>
        <v>0</v>
      </c>
      <c r="AZ29" s="113">
        <f>$AM38</f>
        <v>0</v>
      </c>
      <c r="BA29" s="113">
        <f>$AM39</f>
        <v>0</v>
      </c>
      <c r="BB29" s="113">
        <f>$AM40</f>
        <v>0</v>
      </c>
      <c r="BC29" s="113">
        <f>$AM41</f>
        <v>0</v>
      </c>
      <c r="BD29" s="113">
        <f>$AM42</f>
        <v>0</v>
      </c>
      <c r="BE29" s="113">
        <f>$AM43</f>
        <v>0</v>
      </c>
      <c r="BF29" s="113">
        <f>$AM44</f>
        <v>0</v>
      </c>
      <c r="BG29" s="113">
        <f>$AM45</f>
        <v>0</v>
      </c>
      <c r="BH29" s="113">
        <f>$AM46</f>
        <v>0</v>
      </c>
      <c r="BI29" s="113">
        <f>$AM47</f>
        <v>0</v>
      </c>
      <c r="BJ29" s="113">
        <f>$AM48</f>
        <v>0</v>
      </c>
      <c r="BK29" s="113">
        <f>$AM49</f>
        <v>0</v>
      </c>
      <c r="BL29" s="113">
        <f>$AM50</f>
        <v>0</v>
      </c>
      <c r="BM29" s="113">
        <f>$AM51</f>
        <v>0</v>
      </c>
      <c r="BN29" s="113">
        <f>$AM52</f>
        <v>0</v>
      </c>
      <c r="BO29" s="113">
        <f>$AM53</f>
        <v>0</v>
      </c>
      <c r="BP29" s="113">
        <f>$AM54</f>
        <v>0</v>
      </c>
      <c r="BQ29" s="113">
        <f>$AM55</f>
        <v>0</v>
      </c>
      <c r="BR29" s="113">
        <f>$AM56</f>
        <v>0</v>
      </c>
      <c r="BS29" s="113">
        <f>$AM57</f>
        <v>0</v>
      </c>
      <c r="BT29" s="113">
        <f>$AM58</f>
        <v>0</v>
      </c>
      <c r="BU29" s="113">
        <f>$AM59</f>
        <v>0</v>
      </c>
      <c r="BV29" s="113">
        <f>$AM60</f>
        <v>0</v>
      </c>
      <c r="BW29" s="113">
        <f>$AM61</f>
        <v>0</v>
      </c>
      <c r="BX29" s="113">
        <f>$AM62</f>
        <v>0</v>
      </c>
      <c r="BY29" s="113">
        <f>$AM63</f>
        <v>0</v>
      </c>
      <c r="BZ29" s="113">
        <f>$AM64</f>
        <v>0</v>
      </c>
      <c r="CA29" s="113">
        <f>$AM65</f>
        <v>0</v>
      </c>
      <c r="CB29" s="113">
        <f>$AM66</f>
        <v>0</v>
      </c>
      <c r="CC29" s="113">
        <f>$AM67</f>
        <v>0</v>
      </c>
      <c r="CD29" s="113">
        <f>$AM68</f>
        <v>0</v>
      </c>
      <c r="CE29" s="113">
        <f>$AM69</f>
        <v>0</v>
      </c>
      <c r="CF29" s="113">
        <f>$AM70</f>
        <v>0</v>
      </c>
      <c r="CG29" s="113">
        <f>$AM71</f>
        <v>0</v>
      </c>
      <c r="CH29" s="113">
        <f>$AM72</f>
        <v>0</v>
      </c>
      <c r="CI29" s="113">
        <f>$AM73</f>
        <v>0</v>
      </c>
      <c r="CJ29" s="113">
        <f>$AM74</f>
        <v>0</v>
      </c>
      <c r="CK29" s="113">
        <f>$AM75</f>
        <v>0</v>
      </c>
      <c r="CL29" s="113">
        <f>$AM76</f>
        <v>0</v>
      </c>
      <c r="CM29" s="113">
        <f>$AM77</f>
        <v>0</v>
      </c>
      <c r="CN29" s="113">
        <f>$AM78</f>
        <v>0</v>
      </c>
      <c r="CO29" s="113">
        <f>$AM79</f>
        <v>0</v>
      </c>
      <c r="CP29" s="113">
        <f>$AM80</f>
        <v>0</v>
      </c>
      <c r="CQ29" s="113">
        <f>$AM81</f>
        <v>0</v>
      </c>
      <c r="CR29" s="113">
        <f>$AM82</f>
        <v>0</v>
      </c>
      <c r="CS29" s="113">
        <f>$AM83</f>
        <v>0</v>
      </c>
      <c r="CT29" s="113">
        <f>$AM84</f>
        <v>0</v>
      </c>
      <c r="CU29" s="113">
        <f>$AM85</f>
        <v>0</v>
      </c>
      <c r="CV29" s="113">
        <f>$AM86</f>
        <v>0</v>
      </c>
    </row>
    <row r="30" s="58" customFormat="1" ht="15" customHeight="1" hidden="1">
      <c r="E30" s="578"/>
      <c r="F30" s="581"/>
      <c r="G30" s="581"/>
      <c r="H30" s="581"/>
      <c r="I30" s="582"/>
      <c r="W30" s="532"/>
      <c r="X30" s="108"/>
      <c r="Z30" t="s" s="88">
        <v>160</v>
      </c>
      <c r="AA30" t="s" s="533">
        <v>781</v>
      </c>
      <c r="AC30" s="534">
        <v>354.1</v>
      </c>
      <c r="AD30" t="s" s="535">
        <v>782</v>
      </c>
      <c r="AF30" t="s" s="88">
        <v>160</v>
      </c>
      <c r="AI30" t="s" s="90">
        <v>813</v>
      </c>
      <c r="AK30" s="584"/>
      <c r="AL30" s="585"/>
      <c r="AM30" s="101"/>
      <c r="AN30" s="101"/>
      <c r="AO30" s="586"/>
      <c r="AP30" s="101"/>
      <c r="AQ30" s="101"/>
      <c r="AR30" s="101"/>
      <c r="AS30" s="587"/>
      <c r="AT30" s="588"/>
      <c r="AV30" t="s" s="62">
        <v>814</v>
      </c>
      <c r="AY30" s="113">
        <f>AN37</f>
        <v>0</v>
      </c>
      <c r="AZ30" s="113">
        <f>$AN38</f>
        <v>0</v>
      </c>
      <c r="BA30" s="113">
        <f>$AN39</f>
        <v>0</v>
      </c>
      <c r="BB30" s="113">
        <f>$AN40</f>
        <v>0</v>
      </c>
      <c r="BC30" s="113">
        <f>$AN41</f>
        <v>0</v>
      </c>
      <c r="BD30" s="113">
        <f>$AN42</f>
        <v>0</v>
      </c>
      <c r="BE30" s="113">
        <f>$AN43</f>
        <v>0</v>
      </c>
      <c r="BF30" s="113">
        <f>$AN44</f>
        <v>0</v>
      </c>
      <c r="BG30" s="113">
        <f>$AN45</f>
        <v>0</v>
      </c>
      <c r="BH30" s="113">
        <f>$AN46</f>
        <v>0</v>
      </c>
      <c r="BI30" s="113">
        <f>$AN47</f>
        <v>0</v>
      </c>
      <c r="BJ30" s="113">
        <f>$AN48</f>
        <v>0</v>
      </c>
      <c r="BK30" s="113">
        <f>$AN49</f>
        <v>0</v>
      </c>
      <c r="BL30" s="113">
        <f>$AN50</f>
        <v>0</v>
      </c>
      <c r="BM30" s="113">
        <f>$AN51</f>
        <v>0</v>
      </c>
      <c r="BN30" s="113">
        <f>$AN52</f>
        <v>0</v>
      </c>
      <c r="BO30" s="113">
        <f>$AN53</f>
        <v>0</v>
      </c>
      <c r="BP30" s="113">
        <f>$AN54</f>
        <v>0</v>
      </c>
      <c r="BQ30" s="113">
        <f>$AN55</f>
        <v>0</v>
      </c>
      <c r="BR30" s="113">
        <f>$AN56</f>
        <v>0</v>
      </c>
      <c r="BS30" s="113">
        <f>$AN57</f>
        <v>0</v>
      </c>
      <c r="BT30" s="113">
        <f>$AN58</f>
        <v>0</v>
      </c>
      <c r="BU30" s="113">
        <f>$AN59</f>
        <v>0</v>
      </c>
      <c r="BV30" s="113">
        <f>$AN60</f>
        <v>0</v>
      </c>
      <c r="BW30" s="113">
        <f>$AN61</f>
        <v>0</v>
      </c>
      <c r="BX30" s="113">
        <f>$AN62</f>
        <v>0</v>
      </c>
      <c r="BY30" s="113">
        <f>$AN63</f>
        <v>0</v>
      </c>
      <c r="BZ30" s="113">
        <f>$AN64</f>
        <v>0</v>
      </c>
      <c r="CA30" s="113">
        <f>$AN65</f>
        <v>0</v>
      </c>
      <c r="CB30" s="113">
        <f>$AN66</f>
        <v>0</v>
      </c>
      <c r="CC30" s="113">
        <f>$AN67</f>
        <v>0</v>
      </c>
      <c r="CD30" s="113">
        <f>$AN68</f>
        <v>0</v>
      </c>
      <c r="CE30" s="113">
        <f>$AN69</f>
        <v>0</v>
      </c>
      <c r="CF30" s="113">
        <f>$AN70</f>
        <v>0</v>
      </c>
      <c r="CG30" s="113">
        <f>$AN71</f>
        <v>0</v>
      </c>
      <c r="CH30" s="113">
        <f>$AN72</f>
        <v>0</v>
      </c>
      <c r="CI30" s="113">
        <f>$AN73</f>
        <v>0</v>
      </c>
      <c r="CJ30" s="113">
        <f>$AN74</f>
        <v>0</v>
      </c>
      <c r="CK30" s="113">
        <f>$AN75</f>
        <v>0</v>
      </c>
      <c r="CL30" s="113">
        <f>$AN76</f>
        <v>0</v>
      </c>
      <c r="CM30" s="113">
        <f>$AN77</f>
        <v>0</v>
      </c>
      <c r="CN30" s="113">
        <f>$AN78</f>
        <v>0</v>
      </c>
      <c r="CO30" s="113">
        <f>$AN79</f>
        <v>0</v>
      </c>
      <c r="CP30" s="113">
        <f>$AN80</f>
        <v>0</v>
      </c>
      <c r="CQ30" s="113">
        <f>$AN81</f>
        <v>0</v>
      </c>
      <c r="CR30" s="113">
        <f>$AN82</f>
        <v>0</v>
      </c>
      <c r="CS30" s="113">
        <f>$AN83</f>
        <v>0</v>
      </c>
      <c r="CT30" s="113">
        <f>$AN84</f>
        <v>0</v>
      </c>
      <c r="CU30" s="113">
        <f>$AN85</f>
        <v>0</v>
      </c>
      <c r="CV30" s="113">
        <f>$AN86</f>
        <v>0</v>
      </c>
    </row>
    <row r="31" s="58" customFormat="1" ht="15" customHeight="1" hidden="1">
      <c r="E31" s="578"/>
      <c r="F31" s="581"/>
      <c r="G31" s="581"/>
      <c r="H31" s="581"/>
      <c r="I31" s="582"/>
      <c r="Z31" t="s" s="88">
        <v>163</v>
      </c>
      <c r="AA31" t="s" s="533">
        <v>815</v>
      </c>
      <c r="AC31" s="534">
        <v>320.6</v>
      </c>
      <c r="AD31" t="s" s="535">
        <v>80</v>
      </c>
      <c r="AF31" t="s" s="88">
        <v>163</v>
      </c>
      <c r="AI31" t="s" s="90">
        <v>816</v>
      </c>
      <c r="AK31" s="584"/>
      <c r="AL31" s="585"/>
      <c r="AM31" s="101"/>
      <c r="AN31" s="101"/>
      <c r="AO31" s="585"/>
      <c r="AP31" s="101"/>
      <c r="AQ31" s="101"/>
      <c r="AR31" s="101"/>
      <c r="AS31" s="587"/>
      <c r="AT31" t="s" s="589">
        <v>817</v>
      </c>
      <c r="AV31" t="s" s="62">
        <v>818</v>
      </c>
      <c r="AY31" s="113">
        <f>AO37</f>
        <v>0</v>
      </c>
      <c r="AZ31" s="113">
        <f>$AO38</f>
        <v>0</v>
      </c>
      <c r="BA31" s="113">
        <f>$AO39</f>
        <v>0</v>
      </c>
      <c r="BB31" s="113">
        <f>$AO40</f>
        <v>0</v>
      </c>
      <c r="BC31" s="113">
        <f>$AO41</f>
        <v>0</v>
      </c>
      <c r="BD31" s="113">
        <f>$AO42</f>
        <v>0</v>
      </c>
      <c r="BE31" s="113">
        <f>$AO43</f>
        <v>0</v>
      </c>
      <c r="BF31" s="113">
        <f>$AO44</f>
        <v>0</v>
      </c>
      <c r="BG31" s="113">
        <f>$AO45</f>
        <v>0</v>
      </c>
      <c r="BH31" s="113">
        <f>$AO46</f>
        <v>0</v>
      </c>
      <c r="BI31" s="113">
        <f>$AO47</f>
        <v>0</v>
      </c>
      <c r="BJ31" s="113">
        <f>$AO48</f>
        <v>0</v>
      </c>
      <c r="BK31" s="113">
        <f>$AO49</f>
        <v>0</v>
      </c>
      <c r="BL31" s="113">
        <f>$AO50</f>
        <v>0</v>
      </c>
      <c r="BM31" s="113">
        <f>$AO51</f>
        <v>0</v>
      </c>
      <c r="BN31" s="113">
        <f>$AO52</f>
        <v>0</v>
      </c>
      <c r="BO31" s="113">
        <f>$AO53</f>
        <v>0</v>
      </c>
      <c r="BP31" s="113">
        <f>$AO54</f>
        <v>0</v>
      </c>
      <c r="BQ31" s="113">
        <f>$AO55</f>
        <v>0</v>
      </c>
      <c r="BR31" s="113">
        <f>$AO56</f>
        <v>0</v>
      </c>
      <c r="BS31" s="113">
        <f>$AO57</f>
        <v>0</v>
      </c>
      <c r="BT31" s="113">
        <f>$AO58</f>
        <v>0</v>
      </c>
      <c r="BU31" s="113">
        <f>$AO59</f>
        <v>0</v>
      </c>
      <c r="BV31" s="113">
        <f>$AO60</f>
        <v>0</v>
      </c>
      <c r="BW31" s="113">
        <f>$AO61</f>
        <v>0</v>
      </c>
      <c r="BX31" s="113">
        <f>$AO62</f>
        <v>0</v>
      </c>
      <c r="BY31" s="113">
        <f>$AO63</f>
        <v>0</v>
      </c>
      <c r="BZ31" s="113">
        <f>$AO64</f>
        <v>0</v>
      </c>
      <c r="CA31" s="113">
        <f>$AO65</f>
        <v>0</v>
      </c>
      <c r="CB31" s="113">
        <f>$AO66</f>
        <v>0</v>
      </c>
      <c r="CC31" s="113">
        <f>$AO67</f>
        <v>0</v>
      </c>
      <c r="CD31" s="113">
        <f>$AO68</f>
        <v>0</v>
      </c>
      <c r="CE31" s="113">
        <f>$AO69</f>
        <v>0</v>
      </c>
      <c r="CF31" s="113">
        <f>$AO70</f>
        <v>0</v>
      </c>
      <c r="CG31" s="113">
        <f>$AO71</f>
        <v>0</v>
      </c>
      <c r="CH31" s="113">
        <f>$AO72</f>
        <v>0</v>
      </c>
      <c r="CI31" s="113">
        <f>$AO73</f>
        <v>0</v>
      </c>
      <c r="CJ31" s="113">
        <f>$AO74</f>
        <v>0</v>
      </c>
      <c r="CK31" s="113">
        <f>$AO75</f>
        <v>0</v>
      </c>
      <c r="CL31" s="113">
        <f>$AO76</f>
        <v>0</v>
      </c>
      <c r="CM31" s="113">
        <f>$AO77</f>
        <v>0</v>
      </c>
      <c r="CN31" s="113">
        <f>$AO78</f>
        <v>0</v>
      </c>
      <c r="CO31" s="113">
        <f>$AO79</f>
        <v>0</v>
      </c>
      <c r="CP31" s="113">
        <f>$AO80</f>
        <v>0</v>
      </c>
      <c r="CQ31" s="113">
        <f>$AO81</f>
        <v>0</v>
      </c>
      <c r="CR31" s="113">
        <f>$AO82</f>
        <v>0</v>
      </c>
      <c r="CS31" s="113">
        <f>$AO83</f>
        <v>0</v>
      </c>
      <c r="CT31" s="113">
        <f>$AO84</f>
        <v>0</v>
      </c>
      <c r="CU31" s="113">
        <f>$AO85</f>
        <v>0</v>
      </c>
      <c r="CV31" s="113">
        <f>$AO86</f>
        <v>0</v>
      </c>
    </row>
    <row r="32" s="58" customFormat="1" ht="15" customHeight="1" hidden="1">
      <c r="E32" s="578"/>
      <c r="F32" s="581"/>
      <c r="G32" s="581"/>
      <c r="H32" s="581"/>
      <c r="I32" s="582"/>
      <c r="Z32" t="s" s="88">
        <v>166</v>
      </c>
      <c r="AA32" t="s" s="533">
        <v>819</v>
      </c>
      <c r="AC32" s="534">
        <v>303.1</v>
      </c>
      <c r="AD32" t="s" s="535">
        <v>59</v>
      </c>
      <c r="AF32" t="s" s="88">
        <v>166</v>
      </c>
      <c r="AI32" t="s" s="90">
        <v>820</v>
      </c>
      <c r="AK32" s="584"/>
      <c r="AL32" s="101"/>
      <c r="AM32" s="101"/>
      <c r="AN32" s="101"/>
      <c r="AO32" s="101"/>
      <c r="AP32" s="101"/>
      <c r="AQ32" s="101"/>
      <c r="AR32" s="101"/>
      <c r="AS32" s="585"/>
      <c r="AT32" s="590">
        <f>IF(AO17=0,0,AT97)</f>
        <v>0</v>
      </c>
      <c r="AV32" t="s" s="62">
        <v>821</v>
      </c>
      <c r="AY32" s="113">
        <f>AP37</f>
        <v>0</v>
      </c>
      <c r="AZ32" s="113">
        <f>$AP38</f>
        <v>0</v>
      </c>
      <c r="BA32" s="113">
        <f>$AP39</f>
        <v>0</v>
      </c>
      <c r="BB32" s="113">
        <f>$AP40</f>
        <v>0</v>
      </c>
      <c r="BC32" s="113">
        <f>$AP41</f>
        <v>0</v>
      </c>
      <c r="BD32" s="113">
        <f>$AP42</f>
        <v>0</v>
      </c>
      <c r="BE32" s="113">
        <f>$AP43</f>
        <v>0</v>
      </c>
      <c r="BF32" s="113">
        <f>$AP44</f>
        <v>0</v>
      </c>
      <c r="BG32" s="113">
        <f>$AP45</f>
        <v>0</v>
      </c>
      <c r="BH32" s="113">
        <f>$AP46</f>
        <v>0</v>
      </c>
      <c r="BI32" s="113">
        <f>$AP47</f>
        <v>0</v>
      </c>
      <c r="BJ32" s="113">
        <f>$AP48</f>
        <v>0</v>
      </c>
      <c r="BK32" s="113">
        <f>$AP49</f>
        <v>0</v>
      </c>
      <c r="BL32" s="113">
        <f>$AP50</f>
        <v>0</v>
      </c>
      <c r="BM32" s="113">
        <f>$AP51</f>
        <v>0</v>
      </c>
      <c r="BN32" s="113">
        <f>$AP52</f>
        <v>0</v>
      </c>
      <c r="BO32" s="113">
        <f>$AP53</f>
        <v>0</v>
      </c>
      <c r="BP32" s="113">
        <f>$AP54</f>
        <v>0</v>
      </c>
      <c r="BQ32" s="113">
        <f>$AP55</f>
        <v>0</v>
      </c>
      <c r="BR32" s="113">
        <f>$AP56</f>
        <v>0</v>
      </c>
      <c r="BS32" s="113">
        <f>$AP57</f>
        <v>0</v>
      </c>
      <c r="BT32" s="113">
        <f>$AP58</f>
        <v>0</v>
      </c>
      <c r="BU32" s="113">
        <f>$AP59</f>
        <v>0</v>
      </c>
      <c r="BV32" s="113">
        <f>$AP60</f>
        <v>0</v>
      </c>
      <c r="BW32" s="113">
        <f>$AP61</f>
        <v>0</v>
      </c>
      <c r="BX32" s="113">
        <f>$AP62</f>
        <v>0</v>
      </c>
      <c r="BY32" s="113">
        <f>$AP63</f>
        <v>0</v>
      </c>
      <c r="BZ32" s="113">
        <f>$AP64</f>
        <v>0</v>
      </c>
      <c r="CA32" s="113">
        <f>$AP65</f>
        <v>0</v>
      </c>
      <c r="CB32" s="113">
        <f>$AP66</f>
        <v>0</v>
      </c>
      <c r="CC32" s="113">
        <f>$AP67</f>
        <v>0</v>
      </c>
      <c r="CD32" s="113">
        <f>$AP68</f>
        <v>0</v>
      </c>
      <c r="CE32" s="113">
        <f>$AP69</f>
        <v>0</v>
      </c>
      <c r="CF32" s="113">
        <f>$AP70</f>
        <v>0</v>
      </c>
      <c r="CG32" s="113">
        <f>$AP71</f>
        <v>0</v>
      </c>
      <c r="CH32" s="113">
        <f>$AP72</f>
        <v>0</v>
      </c>
      <c r="CI32" s="113">
        <f>$AP73</f>
        <v>0</v>
      </c>
      <c r="CJ32" s="113">
        <f>$AP74</f>
        <v>0</v>
      </c>
      <c r="CK32" s="113">
        <f>$AP75</f>
        <v>0</v>
      </c>
      <c r="CL32" s="113">
        <f>$AP76</f>
        <v>0</v>
      </c>
      <c r="CM32" s="113">
        <f>$AP77</f>
        <v>0</v>
      </c>
      <c r="CN32" s="113">
        <f>$AP78</f>
        <v>0</v>
      </c>
      <c r="CO32" s="113">
        <f>$AP79</f>
        <v>0</v>
      </c>
      <c r="CP32" s="113">
        <f>$AP80</f>
        <v>0</v>
      </c>
      <c r="CQ32" s="113">
        <f>$AP81</f>
        <v>0</v>
      </c>
      <c r="CR32" s="113">
        <f>$AP82</f>
        <v>0</v>
      </c>
      <c r="CS32" s="113">
        <f>$AP83</f>
        <v>0</v>
      </c>
      <c r="CT32" s="113">
        <f>$AP84</f>
        <v>0</v>
      </c>
      <c r="CU32" s="113">
        <f>$AP85</f>
        <v>0</v>
      </c>
      <c r="CV32" s="113">
        <f>$AP86</f>
        <v>0</v>
      </c>
    </row>
    <row r="33" s="58" customFormat="1" ht="15" customHeight="1" hidden="1">
      <c r="E33" s="56"/>
      <c r="F33" s="56"/>
      <c r="G33" s="56"/>
      <c r="H33" s="56"/>
      <c r="I33" s="56"/>
      <c r="Z33" t="s" s="88">
        <v>170</v>
      </c>
      <c r="AA33" t="s" s="533">
        <v>822</v>
      </c>
      <c r="AC33" s="534">
        <v>302.7</v>
      </c>
      <c r="AD33" t="s" s="535">
        <v>65</v>
      </c>
      <c r="AF33" t="s" s="88">
        <v>170</v>
      </c>
      <c r="AI33" t="s" s="90">
        <v>823</v>
      </c>
      <c r="AK33" s="584"/>
      <c r="AL33" s="555">
        <f>AO23</f>
        <v>0.03</v>
      </c>
      <c r="AM33" s="555">
        <f>AO19</f>
        <v>0.02</v>
      </c>
      <c r="AN33" s="555">
        <f>AO24</f>
        <v>0.03</v>
      </c>
      <c r="AO33" s="555">
        <f>AO25</f>
        <v>0.03</v>
      </c>
      <c r="AP33" s="555">
        <f>AO26</f>
        <v>0.03</v>
      </c>
      <c r="AQ33" s="101"/>
      <c r="AR33" s="555">
        <f>AO29</f>
        <v>0</v>
      </c>
      <c r="AS33" s="585"/>
      <c r="AT33" t="s" s="591">
        <v>824</v>
      </c>
    </row>
    <row r="34" s="58" customFormat="1" ht="15" customHeight="1" hidden="1">
      <c r="E34" s="592"/>
      <c r="Z34" t="s" s="88">
        <v>173</v>
      </c>
      <c r="AA34" t="s" s="533">
        <v>822</v>
      </c>
      <c r="AC34" s="534">
        <v>302.7</v>
      </c>
      <c r="AD34" t="s" s="535">
        <v>65</v>
      </c>
      <c r="AF34" t="s" s="88">
        <v>173</v>
      </c>
      <c r="AI34" t="s" s="90">
        <v>825</v>
      </c>
      <c r="AK34" t="s" s="593">
        <v>826</v>
      </c>
      <c r="AL34" t="s" s="594">
        <v>810</v>
      </c>
      <c r="AM34" t="s" s="594">
        <v>175</v>
      </c>
      <c r="AN34" t="s" s="594">
        <v>814</v>
      </c>
      <c r="AO34" t="s" s="594">
        <v>818</v>
      </c>
      <c r="AP34" t="s" s="594">
        <v>821</v>
      </c>
      <c r="AQ34" t="s" s="594">
        <v>827</v>
      </c>
      <c r="AR34" t="s" s="594">
        <v>828</v>
      </c>
      <c r="AS34" t="s" s="594">
        <v>829</v>
      </c>
      <c r="AT34" t="s" s="595">
        <v>829</v>
      </c>
    </row>
    <row r="35" s="58" customFormat="1" ht="15" customHeight="1" hidden="1">
      <c r="C35" s="176"/>
      <c r="D35" s="176"/>
      <c r="Z35" t="s" s="88">
        <v>176</v>
      </c>
      <c r="AA35" t="s" s="533">
        <v>763</v>
      </c>
      <c r="AC35" s="534">
        <v>276.1</v>
      </c>
      <c r="AD35" t="s" s="535">
        <v>63</v>
      </c>
      <c r="AF35" t="s" s="88">
        <v>176</v>
      </c>
      <c r="AI35" t="s" s="90">
        <v>830</v>
      </c>
      <c r="AK35" s="584"/>
      <c r="AL35" t="s" s="594">
        <v>811</v>
      </c>
      <c r="AM35" t="s" s="594">
        <v>811</v>
      </c>
      <c r="AN35" t="s" s="594">
        <v>811</v>
      </c>
      <c r="AO35" t="s" s="594">
        <v>811</v>
      </c>
      <c r="AP35" t="s" s="594">
        <v>811</v>
      </c>
      <c r="AQ35" t="s" s="594">
        <v>811</v>
      </c>
      <c r="AR35" t="s" s="594">
        <v>811</v>
      </c>
      <c r="AS35" t="s" s="594">
        <v>811</v>
      </c>
      <c r="AT35" t="s" s="595">
        <v>622</v>
      </c>
    </row>
    <row r="36" s="58" customFormat="1" ht="15" customHeight="1" hidden="1">
      <c r="Z36" t="s" s="88">
        <v>180</v>
      </c>
      <c r="AA36" t="s" s="533">
        <v>765</v>
      </c>
      <c r="AC36" s="534">
        <v>321.1</v>
      </c>
      <c r="AD36" t="s" s="535">
        <v>59</v>
      </c>
      <c r="AF36" t="s" s="88">
        <v>180</v>
      </c>
      <c r="AI36" t="s" s="90">
        <v>831</v>
      </c>
      <c r="AK36" s="584"/>
      <c r="AL36" s="101"/>
      <c r="AM36" s="101"/>
      <c r="AN36" s="101"/>
      <c r="AO36" s="101"/>
      <c r="AP36" s="101"/>
      <c r="AQ36" s="101"/>
      <c r="AR36" s="101"/>
      <c r="AS36" s="101"/>
      <c r="AT36" s="596"/>
      <c r="AU36" t="s" s="213">
        <v>832</v>
      </c>
      <c r="AV36" s="214"/>
      <c r="AW36" s="116"/>
      <c r="AX36" s="56"/>
    </row>
    <row r="37" s="58" customFormat="1" ht="15" customHeight="1" hidden="1">
      <c r="Z37" t="s" s="88">
        <v>182</v>
      </c>
      <c r="AA37" t="s" s="533">
        <v>833</v>
      </c>
      <c r="AC37" s="534">
        <v>307.3</v>
      </c>
      <c r="AD37" t="s" s="535">
        <v>65</v>
      </c>
      <c r="AF37" t="s" s="88">
        <v>182</v>
      </c>
      <c r="AI37" t="s" s="90">
        <v>834</v>
      </c>
      <c r="AJ37" t="s" s="597">
        <v>835</v>
      </c>
      <c r="AK37" s="584">
        <v>1</v>
      </c>
      <c r="AL37" s="598">
        <f>L21</f>
        <v>0</v>
      </c>
      <c r="AM37" s="598">
        <f>ROUND(-AL37*$AO$19,0)</f>
        <v>0</v>
      </c>
      <c r="AN37" s="598">
        <f>ROUND(-AO17*AO20,0)</f>
        <v>0</v>
      </c>
      <c r="AO37" s="598">
        <f>ROUND(-AO17*AO21,0)</f>
        <v>0</v>
      </c>
      <c r="AP37" s="598">
        <f t="shared" si="672" ref="AP37:AP39">$AP$133*0</f>
        <v>0</v>
      </c>
      <c r="AQ37" s="598">
        <f>SUM(AL37:AP37)</f>
        <v>0</v>
      </c>
      <c r="AR37" s="598"/>
      <c r="AS37" s="598">
        <f>SUM(AQ37:AR37)</f>
        <v>0</v>
      </c>
      <c r="AT37" s="599">
        <f>AQ37*(1/((1+$AO$28)^(AK37-0.5)))</f>
        <v>0</v>
      </c>
      <c r="AU37" s="310">
        <f>AT37</f>
        <v>0</v>
      </c>
      <c r="AV37" s="287"/>
      <c r="AW37" s="116"/>
      <c r="AX37" s="56"/>
      <c r="AY37" s="113">
        <f>AL37</f>
        <v>0</v>
      </c>
      <c r="AZ37" s="113">
        <f>AM37</f>
        <v>0</v>
      </c>
      <c r="BA37" s="113">
        <f>AN37</f>
        <v>0</v>
      </c>
      <c r="BB37" s="113">
        <f>AO37</f>
        <v>0</v>
      </c>
      <c r="BC37" s="113">
        <f>AP37</f>
        <v>0</v>
      </c>
    </row>
    <row r="38" s="58" customFormat="1" ht="15" customHeight="1" hidden="1">
      <c r="Z38" t="s" s="88">
        <v>185</v>
      </c>
      <c r="AA38" t="s" s="533">
        <v>836</v>
      </c>
      <c r="AC38" s="534">
        <v>286.7</v>
      </c>
      <c r="AD38" t="s" s="535">
        <v>59</v>
      </c>
      <c r="AF38" t="s" s="88">
        <v>185</v>
      </c>
      <c r="AI38" t="s" s="90">
        <v>837</v>
      </c>
      <c r="AJ38" s="597">
        <f>AJ37+1</f>
        <v>1</v>
      </c>
      <c r="AK38" s="584">
        <f>AK37+1</f>
        <v>2</v>
      </c>
      <c r="AL38" s="598">
        <f>IF(AJ38=2017,AL37*0.99,IF(AJ38=2018,AL37*0.99,IF(AJ38=2019,AL37*0.99,AL37*(1+$AO$23))))</f>
        <v>0</v>
      </c>
      <c r="AM38" s="598">
        <f>ROUND(-AL38*$AO$19,0)</f>
        <v>0</v>
      </c>
      <c r="AN38" s="598">
        <f>IF(AK38&gt;$AO$27,0,ROUND(AN37*(1+$AO$24),0))</f>
        <v>0</v>
      </c>
      <c r="AO38" s="598">
        <f>IF(AK38&gt;$AO$27,0,ROUND(AO37*(1+$AO$25),0))</f>
        <v>0</v>
      </c>
      <c r="AP38" s="598">
        <f t="shared" si="672"/>
        <v>0</v>
      </c>
      <c r="AQ38" s="598">
        <f>SUM(AL38:AP38)</f>
        <v>0</v>
      </c>
      <c r="AR38" s="598"/>
      <c r="AS38" s="598">
        <f>SUM(AQ38:AR38)</f>
        <v>0</v>
      </c>
      <c r="AT38" s="599">
        <f>AQ38*(1/((1+$AO$28)^(AK38-0.5)))</f>
        <v>0</v>
      </c>
      <c r="AU38" s="310">
        <f>AT38</f>
        <v>0</v>
      </c>
      <c r="AV38" s="287"/>
      <c r="AW38" s="116"/>
      <c r="AX38" s="56"/>
      <c r="AY38" s="113">
        <f>AL38</f>
        <v>0</v>
      </c>
      <c r="AZ38" s="113">
        <f>AM38</f>
        <v>0</v>
      </c>
      <c r="BA38" s="113">
        <f>AN38</f>
        <v>0</v>
      </c>
      <c r="BB38" s="113">
        <f>AO38</f>
        <v>0</v>
      </c>
      <c r="BC38" s="113">
        <f>AP38</f>
        <v>0</v>
      </c>
    </row>
    <row r="39" s="58" customFormat="1" ht="15" customHeight="1" hidden="1">
      <c r="Z39" t="s" s="88">
        <v>187</v>
      </c>
      <c r="AA39" t="s" s="533">
        <v>838</v>
      </c>
      <c r="AC39" s="534">
        <v>293.9</v>
      </c>
      <c r="AD39" t="s" s="535">
        <v>71</v>
      </c>
      <c r="AF39" t="s" s="88">
        <v>187</v>
      </c>
      <c r="AI39" t="s" s="90">
        <v>839</v>
      </c>
      <c r="AJ39" s="597">
        <f>AJ38+1</f>
        <v>2</v>
      </c>
      <c r="AK39" s="584">
        <f>AK38+1</f>
        <v>3</v>
      </c>
      <c r="AL39" s="598">
        <f>IF(AJ39=2017,AL38*0.99,IF(AJ39=2018,AL38*0.99,IF(AJ39=2019,AL38*0.99,AL38*(1+$AO$23))))</f>
        <v>0</v>
      </c>
      <c r="AM39" s="598">
        <f>ROUND(-AL39*$AO$19,0)</f>
        <v>0</v>
      </c>
      <c r="AN39" s="598">
        <f>IF(AK39&gt;$AO$27,0,ROUND(AN38*(1+$AO$24),0))</f>
        <v>0</v>
      </c>
      <c r="AO39" s="598">
        <f>IF(AK39&gt;$AO$27,0,ROUND(AO38*(1+$AO$25),0))</f>
        <v>0</v>
      </c>
      <c r="AP39" s="598">
        <f t="shared" si="672"/>
        <v>0</v>
      </c>
      <c r="AQ39" s="598">
        <f>SUM(AL39:AP39)</f>
        <v>0</v>
      </c>
      <c r="AR39" s="598"/>
      <c r="AS39" s="598">
        <f>SUM(AQ39:AR39)</f>
        <v>0</v>
      </c>
      <c r="AT39" s="599">
        <f>AQ39*(1/((1+$AO$28)^(AK39-0.5)))</f>
        <v>0</v>
      </c>
      <c r="AU39" s="310">
        <f>AT39</f>
        <v>0</v>
      </c>
      <c r="AV39" s="287"/>
      <c r="AW39" s="116"/>
      <c r="AX39" s="56"/>
      <c r="AY39" s="113">
        <f>AL39</f>
        <v>0</v>
      </c>
      <c r="AZ39" s="113">
        <f>AM39</f>
        <v>0</v>
      </c>
      <c r="BA39" s="113">
        <f>AN39</f>
        <v>0</v>
      </c>
      <c r="BB39" s="113">
        <f>AO39</f>
        <v>0</v>
      </c>
      <c r="BC39" s="113">
        <f>AP39</f>
        <v>0</v>
      </c>
    </row>
    <row r="40" s="58" customFormat="1" ht="15" customHeight="1" hidden="1">
      <c r="Z40" t="s" s="88">
        <v>189</v>
      </c>
      <c r="AA40" t="s" s="533">
        <v>840</v>
      </c>
      <c r="AC40" s="534">
        <v>345.4</v>
      </c>
      <c r="AD40" t="s" s="535">
        <v>67</v>
      </c>
      <c r="AF40" t="s" s="88">
        <v>189</v>
      </c>
      <c r="AI40" t="s" s="90">
        <v>841</v>
      </c>
      <c r="AJ40" s="597">
        <f>AJ39+1</f>
        <v>3</v>
      </c>
      <c r="AK40" s="584">
        <f>AK39+1</f>
        <v>4</v>
      </c>
      <c r="AL40" s="598">
        <f>IF(AJ40=2017,AL39*0.99,IF(AJ40=2018,AL39*0.99,IF(AJ40=2019,AL39*0.99,AL39*(1+$AO$23))))</f>
        <v>0</v>
      </c>
      <c r="AM40" s="598">
        <f>ROUND(-AL40*$AO$19,0)</f>
        <v>0</v>
      </c>
      <c r="AN40" s="598">
        <f>IF(AK40&gt;$AO$27,0,ROUND(AN39*(1+$AO$24),0))</f>
        <v>0</v>
      </c>
      <c r="AO40" s="598">
        <f>IF(AK40&gt;$AO$27,0,ROUND(AO39*(1+$AO$25),0))</f>
        <v>0</v>
      </c>
      <c r="AP40" s="598">
        <f t="shared" si="720" ref="AP40:AP42">$AP$133*0.016</f>
        <v>0</v>
      </c>
      <c r="AQ40" s="598">
        <f>SUM(AL40:AP40)</f>
        <v>0</v>
      </c>
      <c r="AR40" s="598"/>
      <c r="AS40" s="598">
        <f>SUM(AQ40:AR40)</f>
        <v>0</v>
      </c>
      <c r="AT40" s="599">
        <f>AQ40*(1/((1+$AO$28)^(AK40-0.5)))</f>
        <v>0</v>
      </c>
      <c r="AU40" s="310">
        <f>AT40</f>
        <v>0</v>
      </c>
      <c r="AV40" s="287"/>
      <c r="AW40" s="116"/>
      <c r="AX40" s="56"/>
      <c r="AY40" s="113">
        <f>AL40</f>
        <v>0</v>
      </c>
      <c r="AZ40" s="113">
        <f>AM40</f>
        <v>0</v>
      </c>
      <c r="BA40" s="113">
        <f>AN40</f>
        <v>0</v>
      </c>
      <c r="BB40" s="113">
        <f>AO40</f>
        <v>0</v>
      </c>
      <c r="BC40" s="113">
        <f>AP40</f>
        <v>0</v>
      </c>
    </row>
    <row r="41" s="58" customFormat="1" ht="15" customHeight="1" hidden="1">
      <c r="Z41" t="s" s="88">
        <v>191</v>
      </c>
      <c r="AA41" t="s" s="533">
        <v>842</v>
      </c>
      <c r="AC41" s="534">
        <v>302.7</v>
      </c>
      <c r="AD41" t="s" s="535">
        <v>791</v>
      </c>
      <c r="AF41" t="s" s="88">
        <v>191</v>
      </c>
      <c r="AI41" t="s" s="90">
        <v>843</v>
      </c>
      <c r="AJ41" s="597">
        <f>AJ40+1</f>
        <v>4</v>
      </c>
      <c r="AK41" s="584">
        <f>AK40+1</f>
        <v>5</v>
      </c>
      <c r="AL41" s="598">
        <f>IF(AJ41=2017,AL40*0.99,IF(AJ41=2018,AL40*0.99,IF(AJ41=2019,AL40*0.99,AL40*(1+$AO$23))))</f>
        <v>0</v>
      </c>
      <c r="AM41" s="598">
        <f>ROUND(-AL41*$AO$19,0)</f>
        <v>0</v>
      </c>
      <c r="AN41" s="598">
        <f>IF(AK41&gt;$AO$27,0,ROUND(AN40*(1+$AO$24),0))</f>
        <v>0</v>
      </c>
      <c r="AO41" s="598">
        <f>IF(AK41&gt;$AO$27,0,ROUND(AO40*(1+$AO$25),0))</f>
        <v>0</v>
      </c>
      <c r="AP41" s="598">
        <f t="shared" si="720"/>
        <v>0</v>
      </c>
      <c r="AQ41" s="598">
        <f>SUM(AL41:AP41)</f>
        <v>0</v>
      </c>
      <c r="AR41" s="598"/>
      <c r="AS41" s="598">
        <f>SUM(AQ41:AR41)</f>
        <v>0</v>
      </c>
      <c r="AT41" s="599">
        <f>AQ41*(1/((1+$AO$28)^(AK41-0.5)))</f>
        <v>0</v>
      </c>
      <c r="AU41" s="310">
        <f>AT41</f>
        <v>0</v>
      </c>
      <c r="AV41" s="287"/>
      <c r="AW41" s="116"/>
      <c r="AX41" s="56"/>
      <c r="AY41" s="113">
        <f>AL41</f>
        <v>0</v>
      </c>
      <c r="AZ41" s="113">
        <f>AM41</f>
        <v>0</v>
      </c>
      <c r="BA41" s="113">
        <f>AN41</f>
        <v>0</v>
      </c>
      <c r="BB41" s="113">
        <f>AO41</f>
        <v>0</v>
      </c>
      <c r="BC41" s="113">
        <f>AP41</f>
        <v>0</v>
      </c>
    </row>
    <row r="42" s="58" customFormat="1" ht="15" customHeight="1" hidden="1">
      <c r="Z42" t="s" s="88">
        <v>194</v>
      </c>
      <c r="AA42" t="s" s="533">
        <v>796</v>
      </c>
      <c r="AC42" s="534">
        <v>325.9</v>
      </c>
      <c r="AD42" t="s" s="535">
        <v>778</v>
      </c>
      <c r="AF42" t="s" s="88">
        <v>194</v>
      </c>
      <c r="AI42" t="s" s="90">
        <v>844</v>
      </c>
      <c r="AJ42" s="597">
        <f>AJ41+1</f>
        <v>5</v>
      </c>
      <c r="AK42" s="584">
        <f>AK41+1</f>
        <v>6</v>
      </c>
      <c r="AL42" s="598">
        <f>IF(AJ42=2017,AL41*0.99,IF(AJ42=2018,AL41*0.99,IF(AJ42=2019,AL41*0.99,AL41*(1+$AO$23))))</f>
        <v>0</v>
      </c>
      <c r="AM42" s="598">
        <f>ROUND(-AL42*$AO$19,0)</f>
        <v>0</v>
      </c>
      <c r="AN42" s="598">
        <f>IF(AK42&gt;$AO$27,0,ROUND(AN41*(1+$AO$24),0))</f>
        <v>0</v>
      </c>
      <c r="AO42" s="598">
        <f>IF(AK42&gt;$AO$27,0,ROUND(AO41*(1+$AO$25),0))</f>
        <v>0</v>
      </c>
      <c r="AP42" s="598">
        <f t="shared" si="720"/>
        <v>0</v>
      </c>
      <c r="AQ42" s="598">
        <f>SUM(AL42:AP42)</f>
        <v>0</v>
      </c>
      <c r="AR42" s="598"/>
      <c r="AS42" s="598">
        <f>SUM(AQ42:AR42)</f>
        <v>0</v>
      </c>
      <c r="AT42" s="599">
        <f>AQ42*(1/((1+$AO$28)^(AK42-0.5)))</f>
        <v>0</v>
      </c>
      <c r="AU42" s="310">
        <f>AT42</f>
        <v>0</v>
      </c>
      <c r="AV42" s="287"/>
      <c r="AW42" s="116"/>
      <c r="AX42" s="56"/>
      <c r="AY42" s="113">
        <f>AL42</f>
        <v>0</v>
      </c>
      <c r="AZ42" s="113">
        <f>AM42</f>
        <v>0</v>
      </c>
      <c r="BA42" s="113">
        <f>AN42</f>
        <v>0</v>
      </c>
      <c r="BB42" s="113">
        <f>AO42</f>
        <v>0</v>
      </c>
      <c r="BC42" s="113">
        <f>AP42</f>
        <v>0</v>
      </c>
    </row>
    <row r="43" s="58" customFormat="1" ht="15" customHeight="1" hidden="1">
      <c r="Z43" t="s" s="88">
        <v>196</v>
      </c>
      <c r="AA43" t="s" s="533">
        <v>845</v>
      </c>
      <c r="AC43" s="534">
        <v>302.5</v>
      </c>
      <c r="AD43" t="s" s="535">
        <v>778</v>
      </c>
      <c r="AF43" t="s" s="88">
        <v>196</v>
      </c>
      <c r="AI43" t="s" s="90">
        <v>846</v>
      </c>
      <c r="AJ43" s="597">
        <f>AJ42+1</f>
        <v>6</v>
      </c>
      <c r="AK43" s="584">
        <f>AK42+1</f>
        <v>7</v>
      </c>
      <c r="AL43" s="598">
        <f>IF(AJ43=2017,AL42*0.99,IF(AJ43=2018,AL42*0.99,IF(AJ43=2019,AL42*0.99,AL42*(1+$AO$23))))</f>
        <v>0</v>
      </c>
      <c r="AM43" s="598">
        <f>ROUND(-AL43*$AO$19,0)</f>
        <v>0</v>
      </c>
      <c r="AN43" s="598">
        <f>IF(AK43&gt;$AO$27,0,ROUND(AN42*(1+$AO$24),0))</f>
        <v>0</v>
      </c>
      <c r="AO43" s="598">
        <f>IF(AK43&gt;$AO$27,0,ROUND(AO42*(1+$AO$25),0))</f>
        <v>0</v>
      </c>
      <c r="AP43" s="598">
        <f t="shared" si="768" ref="AP43:AP45">$AP$133*0.019</f>
        <v>0</v>
      </c>
      <c r="AQ43" s="598">
        <f>SUM(AL43:AP43)</f>
        <v>0</v>
      </c>
      <c r="AR43" s="598"/>
      <c r="AS43" s="598">
        <f>SUM(AQ43:AR43)</f>
        <v>0</v>
      </c>
      <c r="AT43" s="599">
        <f>AQ43*(1/((1+$AO$28)^(AK43-0.5)))</f>
        <v>0</v>
      </c>
      <c r="AU43" s="310">
        <f>AT43</f>
        <v>0</v>
      </c>
      <c r="AV43" s="287"/>
      <c r="AW43" s="116"/>
      <c r="AX43" s="56"/>
      <c r="AY43" s="113">
        <f>AL43</f>
        <v>0</v>
      </c>
      <c r="AZ43" s="113">
        <f>AM43</f>
        <v>0</v>
      </c>
      <c r="BA43" s="113">
        <f>AN43</f>
        <v>0</v>
      </c>
      <c r="BB43" s="113">
        <f>AO43</f>
        <v>0</v>
      </c>
      <c r="BC43" s="113">
        <f>AP43</f>
        <v>0</v>
      </c>
    </row>
    <row r="44" s="58" customFormat="1" ht="15" customHeight="1" hidden="1">
      <c r="E44" s="592"/>
      <c r="Z44" t="s" s="88">
        <v>198</v>
      </c>
      <c r="AA44" t="s" s="533">
        <v>781</v>
      </c>
      <c r="AC44" s="534">
        <v>354.1</v>
      </c>
      <c r="AD44" t="s" s="535">
        <v>782</v>
      </c>
      <c r="AF44" t="s" s="88">
        <v>198</v>
      </c>
      <c r="AI44" t="s" s="90">
        <v>847</v>
      </c>
      <c r="AJ44" s="597">
        <f>AJ43+1</f>
        <v>7</v>
      </c>
      <c r="AK44" s="584">
        <f>AK43+1</f>
        <v>8</v>
      </c>
      <c r="AL44" s="598">
        <f>IF(AJ44=2017,AL43*0.99,IF(AJ44=2018,AL43*0.99,IF(AJ44=2019,AL43*0.99,AL43*(1+$AO$23))))</f>
        <v>0</v>
      </c>
      <c r="AM44" s="598">
        <f>ROUND(-AL44*$AO$19,0)</f>
        <v>0</v>
      </c>
      <c r="AN44" s="598">
        <f>IF(AK44&gt;$AO$27,0,ROUND(AN43*(1+$AO$24),0))</f>
        <v>0</v>
      </c>
      <c r="AO44" s="598">
        <f>IF(AK44&gt;$AO$27,0,ROUND(AO43*(1+$AO$25),0))</f>
        <v>0</v>
      </c>
      <c r="AP44" s="598">
        <f t="shared" si="768"/>
        <v>0</v>
      </c>
      <c r="AQ44" s="598">
        <f>SUM(AL44:AP44)</f>
        <v>0</v>
      </c>
      <c r="AR44" s="598"/>
      <c r="AS44" s="598">
        <f>SUM(AQ44:AR44)</f>
        <v>0</v>
      </c>
      <c r="AT44" s="599">
        <f>AQ44*(1/((1+$AO$28)^(AK44-0.5)))</f>
        <v>0</v>
      </c>
      <c r="AU44" s="310">
        <f>AT44</f>
        <v>0</v>
      </c>
      <c r="AV44" s="287"/>
      <c r="AW44" s="116"/>
      <c r="AX44" s="56"/>
      <c r="AY44" s="113">
        <f>AL44</f>
        <v>0</v>
      </c>
      <c r="AZ44" s="113">
        <f>AM44</f>
        <v>0</v>
      </c>
      <c r="BA44" s="113">
        <f>AN44</f>
        <v>0</v>
      </c>
      <c r="BB44" s="113">
        <f>AO44</f>
        <v>0</v>
      </c>
      <c r="BC44" s="113">
        <f>AP44</f>
        <v>0</v>
      </c>
    </row>
    <row r="45" s="58" customFormat="1" ht="15" customHeight="1" hidden="1">
      <c r="E45" s="600"/>
      <c r="Z45" t="s" s="88">
        <v>200</v>
      </c>
      <c r="AA45" t="s" s="533">
        <v>796</v>
      </c>
      <c r="AC45" s="534">
        <v>325.9</v>
      </c>
      <c r="AD45" t="s" s="535">
        <v>778</v>
      </c>
      <c r="AF45" t="s" s="88">
        <v>200</v>
      </c>
      <c r="AI45" t="s" s="90">
        <v>848</v>
      </c>
      <c r="AJ45" s="597">
        <f>AJ44+1</f>
        <v>8</v>
      </c>
      <c r="AK45" s="584">
        <f>AK44+1</f>
        <v>9</v>
      </c>
      <c r="AL45" s="598">
        <f>IF(AJ45=2017,AL44*0.99,IF(AJ45=2018,AL44*0.99,IF(AJ45=2019,AL44*0.99,AL44*(1+$AO$23))))</f>
        <v>0</v>
      </c>
      <c r="AM45" s="598">
        <f>ROUND(-AL45*$AO$19,0)</f>
        <v>0</v>
      </c>
      <c r="AN45" s="598">
        <f>IF(AK45&gt;$AO$27,0,ROUND(AN44*(1+$AO$24),0))</f>
        <v>0</v>
      </c>
      <c r="AO45" s="598">
        <f>IF(AK45&gt;$AO$27,0,ROUND(AO44*(1+$AO$25),0))</f>
        <v>0</v>
      </c>
      <c r="AP45" s="598">
        <f t="shared" si="768"/>
        <v>0</v>
      </c>
      <c r="AQ45" s="598">
        <f>SUM(AL45:AP45)</f>
        <v>0</v>
      </c>
      <c r="AR45" s="598"/>
      <c r="AS45" s="598">
        <f>SUM(AQ45:AR45)</f>
        <v>0</v>
      </c>
      <c r="AT45" s="599">
        <f>AQ45*(1/((1+$AO$28)^(AK45-0.5)))</f>
        <v>0</v>
      </c>
      <c r="AU45" s="310">
        <f>AT45</f>
        <v>0</v>
      </c>
      <c r="AV45" s="287"/>
      <c r="AW45" s="116"/>
      <c r="AX45" s="56"/>
      <c r="AY45" s="113">
        <f>AL45</f>
        <v>0</v>
      </c>
      <c r="AZ45" s="113">
        <f>AM45</f>
        <v>0</v>
      </c>
      <c r="BA45" s="113">
        <f>AN45</f>
        <v>0</v>
      </c>
      <c r="BB45" s="113">
        <f>AO45</f>
        <v>0</v>
      </c>
      <c r="BC45" s="113">
        <f>AP45</f>
        <v>0</v>
      </c>
    </row>
    <row r="46" s="58" customFormat="1" ht="15" customHeight="1" hidden="1">
      <c r="E46" s="601"/>
      <c r="Z46" t="s" s="88">
        <v>201</v>
      </c>
      <c r="AA46" t="s" s="533">
        <v>849</v>
      </c>
      <c r="AC46" s="534">
        <v>295.4</v>
      </c>
      <c r="AD46" t="s" s="535">
        <v>80</v>
      </c>
      <c r="AF46" t="s" s="88">
        <v>201</v>
      </c>
      <c r="AI46" t="s" s="90">
        <v>850</v>
      </c>
      <c r="AJ46" s="597">
        <f>AJ45+1</f>
        <v>9</v>
      </c>
      <c r="AK46" s="584">
        <f>AK45+1</f>
        <v>10</v>
      </c>
      <c r="AL46" s="598">
        <f>IF(AJ46=2017,AL45*0.99,IF(AJ46=2018,AL45*0.99,IF(AJ46=2019,AL45*0.99,AL45*(1+$AO$23))))</f>
        <v>0</v>
      </c>
      <c r="AM46" s="598">
        <f>ROUND(-AL46*$AO$19,0)</f>
        <v>0</v>
      </c>
      <c r="AN46" s="598">
        <f>IF(AK46&gt;$AO$27,0,ROUND(AN45*(1+$AO$24),0))</f>
        <v>0</v>
      </c>
      <c r="AO46" s="598">
        <f>IF(AK46&gt;$AO$27,0,ROUND(AO45*(1+$AO$25),0))</f>
        <v>0</v>
      </c>
      <c r="AP46" s="598">
        <f t="shared" si="816" ref="AP46:AP48">$AP$133*0.023</f>
        <v>0</v>
      </c>
      <c r="AQ46" s="598">
        <f>SUM(AL46:AP46)</f>
        <v>0</v>
      </c>
      <c r="AR46" s="598"/>
      <c r="AS46" s="598">
        <f>SUM(AQ46:AR46)</f>
        <v>0</v>
      </c>
      <c r="AT46" s="599">
        <f>AQ46*(1/((1+$AO$28)^(AK46-0.5)))</f>
        <v>0</v>
      </c>
      <c r="AU46" s="310">
        <f>AT46</f>
        <v>0</v>
      </c>
      <c r="AV46" s="287"/>
      <c r="AW46" s="116"/>
      <c r="AX46" s="56"/>
      <c r="AY46" s="113">
        <f>AL46</f>
        <v>0</v>
      </c>
      <c r="AZ46" s="113">
        <f>AM46</f>
        <v>0</v>
      </c>
      <c r="BA46" s="113">
        <f>AN46</f>
        <v>0</v>
      </c>
      <c r="BB46" s="113">
        <f>AO46</f>
        <v>0</v>
      </c>
      <c r="BC46" s="113">
        <f>AP46</f>
        <v>0</v>
      </c>
    </row>
    <row r="47" s="58" customFormat="1" ht="15" customHeight="1" hidden="1">
      <c r="Z47" t="s" s="88">
        <v>204</v>
      </c>
      <c r="AA47" t="s" s="533">
        <v>851</v>
      </c>
      <c r="AC47" s="534">
        <v>281.5</v>
      </c>
      <c r="AD47" t="s" s="535">
        <v>67</v>
      </c>
      <c r="AF47" t="s" s="88">
        <v>204</v>
      </c>
      <c r="AI47" t="s" s="90">
        <v>852</v>
      </c>
      <c r="AJ47" s="597">
        <f>AJ46+1</f>
        <v>10</v>
      </c>
      <c r="AK47" s="584">
        <f>AK46+1</f>
        <v>11</v>
      </c>
      <c r="AL47" s="598">
        <f>IF(AJ47=2017,AL46*0.99,IF(AJ47=2018,AL46*0.99,IF(AJ47=2019,AL46*0.99,AL46*(1+$AO$23))))</f>
        <v>0</v>
      </c>
      <c r="AM47" s="598">
        <f>ROUND(-AL47*$AO$19,0)</f>
        <v>0</v>
      </c>
      <c r="AN47" s="598">
        <f>IF(AK47&gt;$AO$27,0,ROUND(AN46*(1+$AO$24),0))</f>
        <v>0</v>
      </c>
      <c r="AO47" s="598">
        <f>IF(AK47&gt;$AO$27,0,ROUND(AO46*(1+$AO$25),0))</f>
        <v>0</v>
      </c>
      <c r="AP47" s="598">
        <f t="shared" si="816"/>
        <v>0</v>
      </c>
      <c r="AQ47" s="598">
        <f>SUM(AL47:AP47)</f>
        <v>0</v>
      </c>
      <c r="AR47" s="598"/>
      <c r="AS47" s="598">
        <f>SUM(AQ47:AR47)</f>
        <v>0</v>
      </c>
      <c r="AT47" s="599">
        <f>AQ47*(1/((1+$AO$28)^(AK47-0.5)))</f>
        <v>0</v>
      </c>
      <c r="AU47" s="310">
        <f>AT47</f>
        <v>0</v>
      </c>
      <c r="AV47" s="287"/>
      <c r="AW47" s="116"/>
      <c r="AX47" s="56"/>
      <c r="AY47" s="113">
        <f>AL47</f>
        <v>0</v>
      </c>
      <c r="AZ47" s="113">
        <f>AM47</f>
        <v>0</v>
      </c>
      <c r="BA47" s="113">
        <f>AN47</f>
        <v>0</v>
      </c>
      <c r="BB47" s="113">
        <f>AO47</f>
        <v>0</v>
      </c>
      <c r="BC47" s="113">
        <f>AP47</f>
        <v>0</v>
      </c>
    </row>
    <row r="48" s="58" customFormat="1" ht="15" customHeight="1" hidden="1">
      <c r="Z48" t="s" s="88">
        <v>206</v>
      </c>
      <c r="AA48" t="s" s="533">
        <v>804</v>
      </c>
      <c r="AC48" s="534">
        <v>321.2</v>
      </c>
      <c r="AD48" t="s" s="535">
        <v>71</v>
      </c>
      <c r="AF48" t="s" s="88">
        <v>206</v>
      </c>
      <c r="AI48" t="s" s="90">
        <v>853</v>
      </c>
      <c r="AJ48" s="597">
        <f>AJ47+1</f>
        <v>11</v>
      </c>
      <c r="AK48" s="584">
        <f>AK47+1</f>
        <v>12</v>
      </c>
      <c r="AL48" s="598">
        <f>IF(AJ48=2017,AL47*0.99,IF(AJ48=2018,AL47*0.99,IF(AJ48=2019,AL47*0.99,AL47*(1+$AO$23))))</f>
        <v>0</v>
      </c>
      <c r="AM48" s="598">
        <f>ROUND(-AL48*$AO$19,0)</f>
        <v>0</v>
      </c>
      <c r="AN48" s="598">
        <f>IF(AK48&gt;$AO$27,0,ROUND(AN47*(1+$AO$24),0))</f>
        <v>0</v>
      </c>
      <c r="AO48" s="598">
        <f>IF(AK48&gt;$AO$27,0,ROUND(AO47*(1+$AO$25),0))</f>
        <v>0</v>
      </c>
      <c r="AP48" s="598">
        <f t="shared" si="816"/>
        <v>0</v>
      </c>
      <c r="AQ48" s="598">
        <f>SUM(AL48:AP48)</f>
        <v>0</v>
      </c>
      <c r="AR48" s="598"/>
      <c r="AS48" s="598">
        <f>SUM(AQ48:AR48)</f>
        <v>0</v>
      </c>
      <c r="AT48" s="599">
        <f>AQ48*(1/((1+$AO$28)^(AK48-0.5)))</f>
        <v>0</v>
      </c>
      <c r="AU48" s="310">
        <f>AT48</f>
        <v>0</v>
      </c>
      <c r="AV48" s="287"/>
      <c r="AW48" s="116"/>
      <c r="AX48" s="56"/>
      <c r="AY48" s="113">
        <f>AL48</f>
        <v>0</v>
      </c>
      <c r="AZ48" s="113">
        <f>AM48</f>
        <v>0</v>
      </c>
      <c r="BA48" s="113">
        <f>AN48</f>
        <v>0</v>
      </c>
      <c r="BB48" s="113">
        <f>AO48</f>
        <v>0</v>
      </c>
      <c r="BC48" s="113">
        <f>AP48</f>
        <v>0</v>
      </c>
    </row>
    <row r="49" s="58" customFormat="1" ht="15" customHeight="1" hidden="1">
      <c r="Z49" t="s" s="88">
        <v>209</v>
      </c>
      <c r="AA49" t="s" s="533">
        <v>845</v>
      </c>
      <c r="AC49" s="534">
        <v>302.5</v>
      </c>
      <c r="AD49" t="s" s="535">
        <v>778</v>
      </c>
      <c r="AF49" t="s" s="88">
        <v>209</v>
      </c>
      <c r="AI49" t="s" s="90">
        <v>854</v>
      </c>
      <c r="AJ49" s="597">
        <f>AJ48+1</f>
        <v>12</v>
      </c>
      <c r="AK49" s="584">
        <f>AK48+1</f>
        <v>13</v>
      </c>
      <c r="AL49" s="598">
        <f>IF(AJ49=2017,AL48*0.99,IF(AJ49=2018,AL48*0.99,IF(AJ49=2019,AL48*0.99,AL48*(1+$AO$23))))</f>
        <v>0</v>
      </c>
      <c r="AM49" s="598">
        <f>ROUND(-AL49*$AO$19,0)</f>
        <v>0</v>
      </c>
      <c r="AN49" s="598">
        <f>IF(AK49&gt;$AO$27,0,ROUND(AN48*(1+$AO$24),0))</f>
        <v>0</v>
      </c>
      <c r="AO49" s="598">
        <f>IF(AK49&gt;$AO$27,0,ROUND(AO48*(1+$AO$25),0))</f>
        <v>0</v>
      </c>
      <c r="AP49" s="598">
        <f t="shared" si="864" ref="AP49:AP51">$AP$133*0.028</f>
        <v>0</v>
      </c>
      <c r="AQ49" s="598">
        <f>SUM(AL49:AP49)</f>
        <v>0</v>
      </c>
      <c r="AR49" s="598"/>
      <c r="AS49" s="598">
        <f>SUM(AQ49:AR49)</f>
        <v>0</v>
      </c>
      <c r="AT49" s="599">
        <f>AQ49*(1/((1+$AO$28)^(AK49-0.5)))</f>
        <v>0</v>
      </c>
      <c r="AU49" s="310">
        <f>AT49</f>
        <v>0</v>
      </c>
      <c r="AV49" s="287"/>
      <c r="AW49" s="116"/>
      <c r="AX49" s="56"/>
      <c r="AY49" s="113">
        <f>AL49</f>
        <v>0</v>
      </c>
      <c r="AZ49" s="113">
        <f>AM49</f>
        <v>0</v>
      </c>
      <c r="BA49" s="113">
        <f>AN49</f>
        <v>0</v>
      </c>
      <c r="BB49" s="113">
        <f>AO49</f>
        <v>0</v>
      </c>
      <c r="BC49" s="113">
        <f>AP49</f>
        <v>0</v>
      </c>
    </row>
    <row r="50" s="58" customFormat="1" ht="15" customHeight="1" hidden="1">
      <c r="Z50" t="s" s="88">
        <v>212</v>
      </c>
      <c r="AA50" t="s" s="533">
        <v>781</v>
      </c>
      <c r="AC50" s="534">
        <v>354.1</v>
      </c>
      <c r="AD50" t="s" s="535">
        <v>782</v>
      </c>
      <c r="AF50" t="s" s="88">
        <v>212</v>
      </c>
      <c r="AI50" t="s" s="90">
        <v>855</v>
      </c>
      <c r="AJ50" s="597">
        <f>AJ49+1</f>
        <v>13</v>
      </c>
      <c r="AK50" s="584">
        <f>AK49+1</f>
        <v>14</v>
      </c>
      <c r="AL50" s="598">
        <f>IF(AJ50=2017,AL49*0.99,IF(AJ50=2018,AL49*0.99,IF(AJ50=2019,AL49*0.99,AL49*(1+$AO$23))))</f>
        <v>0</v>
      </c>
      <c r="AM50" s="598">
        <f>ROUND(-AL50*$AO$19,0)</f>
        <v>0</v>
      </c>
      <c r="AN50" s="598">
        <f>IF(AK50&gt;$AO$27,0,ROUND(AN49*(1+$AO$24),0))</f>
        <v>0</v>
      </c>
      <c r="AO50" s="598">
        <f>IF(AK50&gt;$AO$27,0,ROUND(AO49*(1+$AO$25),0))</f>
        <v>0</v>
      </c>
      <c r="AP50" s="598">
        <f t="shared" si="864"/>
        <v>0</v>
      </c>
      <c r="AQ50" s="598">
        <f>SUM(AL50:AP50)</f>
        <v>0</v>
      </c>
      <c r="AR50" s="598"/>
      <c r="AS50" s="598">
        <f>SUM(AQ50:AR50)</f>
        <v>0</v>
      </c>
      <c r="AT50" s="599">
        <f>AQ50*(1/((1+$AO$28)^(AK50-0.5)))</f>
        <v>0</v>
      </c>
      <c r="AU50" s="310">
        <f>AT50</f>
        <v>0</v>
      </c>
      <c r="AV50" s="287"/>
      <c r="AW50" s="116"/>
      <c r="AX50" s="56"/>
      <c r="AY50" s="113">
        <f>AL50</f>
        <v>0</v>
      </c>
      <c r="AZ50" s="113">
        <f>AM50</f>
        <v>0</v>
      </c>
      <c r="BA50" s="113">
        <f>AN50</f>
        <v>0</v>
      </c>
      <c r="BB50" s="113">
        <f>AO50</f>
        <v>0</v>
      </c>
      <c r="BC50" s="113">
        <f>AP50</f>
        <v>0</v>
      </c>
    </row>
    <row r="51" s="58" customFormat="1" ht="15" customHeight="1" hidden="1">
      <c r="Z51" t="s" s="88">
        <v>215</v>
      </c>
      <c r="AA51" t="s" s="533">
        <v>856</v>
      </c>
      <c r="AC51" s="534">
        <v>289.6</v>
      </c>
      <c r="AD51" t="s" s="535">
        <v>80</v>
      </c>
      <c r="AF51" t="s" s="88">
        <v>215</v>
      </c>
      <c r="AI51" t="s" s="90">
        <v>857</v>
      </c>
      <c r="AJ51" s="597">
        <f>AJ50+1</f>
        <v>14</v>
      </c>
      <c r="AK51" s="584">
        <f>AK50+1</f>
        <v>15</v>
      </c>
      <c r="AL51" s="598">
        <f>IF(AJ51=2017,AL50*0.99,IF(AJ51=2018,AL50*0.99,IF(AJ51=2019,AL50*0.99,AL50*(1+$AO$23))))</f>
        <v>0</v>
      </c>
      <c r="AM51" s="598">
        <f>ROUND(-AL51*$AO$19,0)</f>
        <v>0</v>
      </c>
      <c r="AN51" s="598">
        <f>IF(AK51&gt;$AO$27,0,ROUND(AN50*(1+$AO$24),0))</f>
        <v>0</v>
      </c>
      <c r="AO51" s="598">
        <f>IF(AK51&gt;$AO$27,0,ROUND(AO50*(1+$AO$25),0))</f>
        <v>0</v>
      </c>
      <c r="AP51" s="598">
        <f t="shared" si="864"/>
        <v>0</v>
      </c>
      <c r="AQ51" s="598">
        <f>SUM(AL51:AP51)</f>
        <v>0</v>
      </c>
      <c r="AR51" s="598"/>
      <c r="AS51" s="598">
        <f>SUM(AQ51:AR51)</f>
        <v>0</v>
      </c>
      <c r="AT51" s="599">
        <f>AQ51*(1/((1+$AO$28)^(AK51-0.5)))</f>
        <v>0</v>
      </c>
      <c r="AU51" s="310">
        <f>AT51</f>
        <v>0</v>
      </c>
      <c r="AV51" s="287"/>
      <c r="AW51" s="116"/>
      <c r="AX51" s="56"/>
      <c r="AY51" s="113">
        <f>AL51</f>
        <v>0</v>
      </c>
      <c r="AZ51" s="113">
        <f>AM51</f>
        <v>0</v>
      </c>
      <c r="BA51" s="113">
        <f>AN51</f>
        <v>0</v>
      </c>
      <c r="BB51" s="113">
        <f>AO51</f>
        <v>0</v>
      </c>
      <c r="BC51" s="113">
        <f>AP51</f>
        <v>0</v>
      </c>
    </row>
    <row r="52" s="58" customFormat="1" ht="15" customHeight="1" hidden="1">
      <c r="Z52" t="s" s="88">
        <v>218</v>
      </c>
      <c r="AA52" t="s" s="533">
        <v>858</v>
      </c>
      <c r="AC52" s="534">
        <v>343.7</v>
      </c>
      <c r="AD52" t="s" s="535">
        <v>778</v>
      </c>
      <c r="AF52" t="s" s="88">
        <v>218</v>
      </c>
      <c r="AI52" s="536"/>
      <c r="AJ52" s="597">
        <f>AJ51+1</f>
        <v>15</v>
      </c>
      <c r="AK52" s="584">
        <f>AK51+1</f>
        <v>16</v>
      </c>
      <c r="AL52" s="598">
        <f>IF(AJ52=2017,AL51*0.99,IF(AJ52=2018,AL51*0.99,IF(AJ52=2019,AL51*0.99,AL51*(1+$AO$23))))</f>
        <v>0</v>
      </c>
      <c r="AM52" s="598">
        <f>ROUND(-AL52*$AO$19,0)</f>
        <v>0</v>
      </c>
      <c r="AN52" s="598">
        <f>IF(AK52&gt;$AO$27,0,ROUND(AN51*(1+$AO$24),0))</f>
        <v>0</v>
      </c>
      <c r="AO52" s="598">
        <f>IF(AK52&gt;$AO$27,0,ROUND(AO51*(1+$AO$25),0))</f>
        <v>0</v>
      </c>
      <c r="AP52" s="598">
        <f t="shared" si="912" ref="AP52:AP54">$AP$133*0.033</f>
        <v>0</v>
      </c>
      <c r="AQ52" s="598">
        <f>SUM(AL52:AP52)</f>
        <v>0</v>
      </c>
      <c r="AR52" s="598"/>
      <c r="AS52" s="598">
        <f>SUM(AQ52:AR52)</f>
        <v>0</v>
      </c>
      <c r="AT52" s="599">
        <f>AQ52*(1/((1+$AO$28)^(AK52-0.5)))</f>
        <v>0</v>
      </c>
      <c r="AU52" s="310">
        <f>AT52</f>
        <v>0</v>
      </c>
      <c r="AV52" s="287"/>
      <c r="AW52" s="116"/>
      <c r="AX52" s="56"/>
      <c r="AY52" s="113">
        <f>AL52</f>
        <v>0</v>
      </c>
      <c r="AZ52" s="113">
        <f>AM52</f>
        <v>0</v>
      </c>
      <c r="BA52" s="113">
        <f>AN52</f>
        <v>0</v>
      </c>
      <c r="BB52" s="113">
        <f>AO52</f>
        <v>0</v>
      </c>
      <c r="BC52" s="113">
        <f>AP52</f>
        <v>0</v>
      </c>
    </row>
    <row r="53" s="58" customFormat="1" ht="15" customHeight="1" hidden="1">
      <c r="Z53" t="s" s="88">
        <v>221</v>
      </c>
      <c r="AA53" t="s" s="533">
        <v>768</v>
      </c>
      <c r="AC53" s="534">
        <v>298</v>
      </c>
      <c r="AD53" t="s" s="535">
        <v>59</v>
      </c>
      <c r="AF53" t="s" s="88">
        <v>221</v>
      </c>
      <c r="AI53" s="536"/>
      <c r="AJ53" s="597">
        <f>AJ52+1</f>
        <v>16</v>
      </c>
      <c r="AK53" s="584">
        <f>AK52+1</f>
        <v>17</v>
      </c>
      <c r="AL53" s="598">
        <f>IF(AJ53=2017,AL52*0.99,IF(AJ53=2018,AL52*0.99,IF(AJ53=2019,AL52*0.99,AL52*(1+$AO$23))))</f>
        <v>0</v>
      </c>
      <c r="AM53" s="598">
        <f>ROUND(-AL53*$AO$19,0)</f>
        <v>0</v>
      </c>
      <c r="AN53" s="598">
        <f>IF(AK53&gt;$AO$27,0,ROUND(AN52*(1+$AO$24),0))</f>
        <v>0</v>
      </c>
      <c r="AO53" s="598">
        <f>IF(AK53&gt;$AO$27,0,ROUND(AO52*(1+$AO$25),0))</f>
        <v>0</v>
      </c>
      <c r="AP53" s="598">
        <f t="shared" si="912"/>
        <v>0</v>
      </c>
      <c r="AQ53" s="598">
        <f>SUM(AL53:AP53)</f>
        <v>0</v>
      </c>
      <c r="AR53" s="598"/>
      <c r="AS53" s="598">
        <f>SUM(AQ53:AR53)</f>
        <v>0</v>
      </c>
      <c r="AT53" s="599">
        <f>AQ53*(1/((1+$AO$28)^(AK53-0.5)))</f>
        <v>0</v>
      </c>
      <c r="AU53" s="310">
        <f>AT53</f>
        <v>0</v>
      </c>
      <c r="AV53" s="287"/>
      <c r="AW53" s="116"/>
      <c r="AX53" s="56"/>
      <c r="AY53" s="113">
        <f>AL53</f>
        <v>0</v>
      </c>
      <c r="AZ53" s="113">
        <f>AM53</f>
        <v>0</v>
      </c>
      <c r="BA53" s="113">
        <f>AN53</f>
        <v>0</v>
      </c>
      <c r="BB53" s="113">
        <f>AO53</f>
        <v>0</v>
      </c>
      <c r="BC53" s="113">
        <f>AP53</f>
        <v>0</v>
      </c>
    </row>
    <row r="54" s="58" customFormat="1" ht="15" customHeight="1" hidden="1">
      <c r="Z54" t="s" s="88">
        <v>223</v>
      </c>
      <c r="AA54" t="s" s="533">
        <v>822</v>
      </c>
      <c r="AC54" s="534">
        <v>302.7</v>
      </c>
      <c r="AD54" t="s" s="535">
        <v>65</v>
      </c>
      <c r="AF54" t="s" s="88">
        <v>223</v>
      </c>
      <c r="AI54" s="536"/>
      <c r="AJ54" s="597">
        <f>AJ53+1</f>
        <v>17</v>
      </c>
      <c r="AK54" s="584">
        <f>AK53+1</f>
        <v>18</v>
      </c>
      <c r="AL54" s="598">
        <f>IF(AJ54=2017,AL53*0.99,IF(AJ54=2018,AL53*0.99,IF(AJ54=2019,AL53*0.99,AL53*(1+$AO$23))))</f>
        <v>0</v>
      </c>
      <c r="AM54" s="598">
        <f>ROUND(-AL54*$AO$19,0)</f>
        <v>0</v>
      </c>
      <c r="AN54" s="598">
        <f>IF(AK54&gt;$AO$27,0,ROUND(AN53*(1+$AO$24),0))</f>
        <v>0</v>
      </c>
      <c r="AO54" s="598">
        <f>IF(AK54&gt;$AO$27,0,ROUND(AO53*(1+$AO$25),0))</f>
        <v>0</v>
      </c>
      <c r="AP54" s="598">
        <f t="shared" si="912"/>
        <v>0</v>
      </c>
      <c r="AQ54" s="598">
        <f>SUM(AL54:AP54)</f>
        <v>0</v>
      </c>
      <c r="AR54" s="598"/>
      <c r="AS54" s="598">
        <f>SUM(AQ54:AR54)</f>
        <v>0</v>
      </c>
      <c r="AT54" s="599">
        <f>AQ54*(1/((1+$AO$28)^(AK54-0.5)))</f>
        <v>0</v>
      </c>
      <c r="AU54" s="310">
        <f>AT54</f>
        <v>0</v>
      </c>
      <c r="AV54" s="287"/>
      <c r="AW54" s="116"/>
      <c r="AX54" s="56"/>
      <c r="AY54" s="113">
        <f>AL54</f>
        <v>0</v>
      </c>
      <c r="AZ54" s="113">
        <f>AM54</f>
        <v>0</v>
      </c>
      <c r="BA54" s="113">
        <f>AN54</f>
        <v>0</v>
      </c>
      <c r="BB54" s="113">
        <f>AO54</f>
        <v>0</v>
      </c>
      <c r="BC54" s="113">
        <f>AP54</f>
        <v>0</v>
      </c>
    </row>
    <row r="55" s="58" customFormat="1" ht="15" customHeight="1" hidden="1">
      <c r="Z55" t="s" s="88">
        <v>859</v>
      </c>
      <c r="AA55" t="s" s="533">
        <v>833</v>
      </c>
      <c r="AC55" s="534">
        <v>307.3</v>
      </c>
      <c r="AD55" t="s" s="535">
        <v>65</v>
      </c>
      <c r="AF55" t="s" s="88">
        <v>859</v>
      </c>
      <c r="AI55" s="536"/>
      <c r="AJ55" s="597">
        <f>AJ54+1</f>
        <v>18</v>
      </c>
      <c r="AK55" s="584">
        <f>AK54+1</f>
        <v>19</v>
      </c>
      <c r="AL55" s="598">
        <f>IF(AJ55=2017,AL54*0.99,IF(AJ55=2018,AL54*0.99,IF(AJ55=2019,AL54*0.99,AL54*(1+$AO$23))))</f>
        <v>0</v>
      </c>
      <c r="AM55" s="598">
        <f>ROUND(-AL55*$AO$19,0)</f>
        <v>0</v>
      </c>
      <c r="AN55" s="598">
        <f>IF(AK55&gt;$AO$27,0,ROUND(AN54*(1+$AO$24),0))</f>
        <v>0</v>
      </c>
      <c r="AO55" s="598">
        <f>IF(AK55&gt;$AO$27,0,ROUND(AO54*(1+$AO$25),0))</f>
        <v>0</v>
      </c>
      <c r="AP55" s="598">
        <f t="shared" si="960" ref="AP55:AP57">$AP$133*0.04</f>
        <v>0</v>
      </c>
      <c r="AQ55" s="598">
        <f>SUM(AL55:AP55)</f>
        <v>0</v>
      </c>
      <c r="AR55" s="598"/>
      <c r="AS55" s="598">
        <f>SUM(AQ55:AR55)</f>
        <v>0</v>
      </c>
      <c r="AT55" s="599">
        <f>AQ55*(1/((1+$AO$28)^(AK55-0.5)))</f>
        <v>0</v>
      </c>
      <c r="AU55" s="310">
        <f>AT55</f>
        <v>0</v>
      </c>
      <c r="AV55" s="287"/>
      <c r="AW55" s="116"/>
      <c r="AX55" s="56"/>
      <c r="AY55" s="113">
        <f>AL55</f>
        <v>0</v>
      </c>
      <c r="AZ55" s="113">
        <f>AM55</f>
        <v>0</v>
      </c>
      <c r="BA55" s="113">
        <f>AN55</f>
        <v>0</v>
      </c>
      <c r="BB55" s="113">
        <f>AO55</f>
        <v>0</v>
      </c>
      <c r="BC55" s="113">
        <f>AP55</f>
        <v>0</v>
      </c>
    </row>
    <row r="56" s="58" customFormat="1" ht="15" customHeight="1" hidden="1">
      <c r="Z56" t="s" s="88">
        <v>224</v>
      </c>
      <c r="AA56" t="s" s="533">
        <v>842</v>
      </c>
      <c r="AC56" s="534">
        <v>302.7</v>
      </c>
      <c r="AD56" t="s" s="535">
        <v>791</v>
      </c>
      <c r="AF56" t="s" s="88">
        <v>224</v>
      </c>
      <c r="AI56" s="602"/>
      <c r="AJ56" s="597">
        <f>AJ55+1</f>
        <v>19</v>
      </c>
      <c r="AK56" s="584">
        <f>AK55+1</f>
        <v>20</v>
      </c>
      <c r="AL56" s="598">
        <f>IF(AJ56=2017,AL55*0.99,IF(AJ56=2018,AL55*0.99,IF(AJ56=2019,AL55*0.99,AL55*(1+$AO$23))))</f>
        <v>0</v>
      </c>
      <c r="AM56" s="598">
        <f>ROUND(-AL56*$AO$19,0)</f>
        <v>0</v>
      </c>
      <c r="AN56" s="598">
        <f>IF(AK56&gt;$AO$27,0,ROUND(AN55*(1+$AO$24),0))</f>
        <v>0</v>
      </c>
      <c r="AO56" s="598">
        <f>IF(AK56&gt;$AO$27,0,ROUND(AO55*(1+$AO$25),0))</f>
        <v>0</v>
      </c>
      <c r="AP56" s="598">
        <f t="shared" si="960"/>
        <v>0</v>
      </c>
      <c r="AQ56" s="598">
        <f>SUM(AL56:AP56)</f>
        <v>0</v>
      </c>
      <c r="AR56" s="598"/>
      <c r="AS56" s="598">
        <f>SUM(AQ56:AR56)</f>
        <v>0</v>
      </c>
      <c r="AT56" s="599">
        <f>AQ56*(1/((1+$AO$28)^(AK56-0.5)))</f>
        <v>0</v>
      </c>
      <c r="AU56" s="310">
        <f>AT56</f>
        <v>0</v>
      </c>
      <c r="AV56" s="287"/>
      <c r="AW56" s="116"/>
      <c r="AX56" s="56"/>
      <c r="AY56" s="113">
        <f>AL56</f>
        <v>0</v>
      </c>
      <c r="AZ56" s="113">
        <f>AM56</f>
        <v>0</v>
      </c>
      <c r="BA56" s="113">
        <f>AN56</f>
        <v>0</v>
      </c>
      <c r="BB56" s="113">
        <f>AO56</f>
        <v>0</v>
      </c>
      <c r="BC56" s="113">
        <f>AP56</f>
        <v>0</v>
      </c>
    </row>
    <row r="57" s="58" customFormat="1" ht="15" customHeight="1" hidden="1">
      <c r="Z57" t="s" s="88">
        <v>225</v>
      </c>
      <c r="AA57" t="s" s="533">
        <v>860</v>
      </c>
      <c r="AC57" s="534">
        <v>330.1</v>
      </c>
      <c r="AD57" t="s" s="535">
        <v>778</v>
      </c>
      <c r="AF57" t="s" s="88">
        <v>225</v>
      </c>
      <c r="AJ57" s="152">
        <f>AJ56+1</f>
        <v>20</v>
      </c>
      <c r="AK57" s="584">
        <f>AK56+1</f>
        <v>21</v>
      </c>
      <c r="AL57" s="598">
        <f>IF(AJ57=2017,AL56*0.99,IF(AJ57=2018,AL56*0.99,IF(AJ57=2019,AL56*0.99,AL56*(1+$AO$23))))</f>
        <v>0</v>
      </c>
      <c r="AM57" s="598">
        <f>ROUND(-AL57*$AO$19,0)</f>
        <v>0</v>
      </c>
      <c r="AN57" s="598">
        <f>IF(AK57&gt;$AO$27,0,ROUND(AN56*(1+$AO$24),0))</f>
        <v>0</v>
      </c>
      <c r="AO57" s="598">
        <f>IF(AK57&gt;$AO$27,0,ROUND(AO56*(1+$AO$25),0))</f>
        <v>0</v>
      </c>
      <c r="AP57" s="598">
        <f t="shared" si="960"/>
        <v>0</v>
      </c>
      <c r="AQ57" s="598">
        <f>SUM(AL57:AP57)</f>
        <v>0</v>
      </c>
      <c r="AR57" s="598"/>
      <c r="AS57" s="598">
        <f>SUM(AQ57:AR57)</f>
        <v>0</v>
      </c>
      <c r="AT57" s="599">
        <f>AQ57*(1/((1+$AO$28)^(AK57-0.5)))</f>
        <v>0</v>
      </c>
      <c r="AU57" s="310">
        <f>AT57</f>
        <v>0</v>
      </c>
      <c r="AV57" s="287"/>
      <c r="AW57" s="116"/>
      <c r="AX57" s="56"/>
      <c r="AY57" s="113">
        <f>AL57</f>
        <v>0</v>
      </c>
      <c r="AZ57" s="113">
        <f>AM57</f>
        <v>0</v>
      </c>
      <c r="BA57" s="113">
        <f>AN57</f>
        <v>0</v>
      </c>
      <c r="BB57" s="113">
        <f>AO57</f>
        <v>0</v>
      </c>
      <c r="BC57" s="113">
        <f>AP57</f>
        <v>0</v>
      </c>
    </row>
    <row r="58" s="58" customFormat="1" ht="15" customHeight="1" hidden="1">
      <c r="Z58" t="s" s="88">
        <v>226</v>
      </c>
      <c r="AA58" t="s" s="533">
        <v>861</v>
      </c>
      <c r="AC58" s="534">
        <v>354.1</v>
      </c>
      <c r="AD58" t="s" s="535">
        <v>862</v>
      </c>
      <c r="AF58" t="s" s="88">
        <v>226</v>
      </c>
      <c r="AJ58" s="152">
        <f>AJ57+1</f>
        <v>21</v>
      </c>
      <c r="AK58" s="584">
        <f>AK57+1</f>
        <v>22</v>
      </c>
      <c r="AL58" s="598">
        <f>IF(AJ58=2017,AL57*0.99,IF(AJ58=2018,AL57*0.99,IF(AJ58=2019,AL57*0.99,AL57*(1+$AO$23))))</f>
        <v>0</v>
      </c>
      <c r="AM58" s="598">
        <f>ROUND(-AL58*$AO$19,0)</f>
        <v>0</v>
      </c>
      <c r="AN58" s="598">
        <f>IF(AK58&gt;$AO$27,0,ROUND(AN57*(1+$AO$24),0))</f>
        <v>0</v>
      </c>
      <c r="AO58" s="598">
        <f>IF(AK58&gt;$AO$27,0,ROUND(AO57*(1+$AO$25),0))</f>
        <v>0</v>
      </c>
      <c r="AP58" s="598">
        <f t="shared" si="1008" ref="AP58:AP60">$AP$133*0.048</f>
        <v>0</v>
      </c>
      <c r="AQ58" s="598">
        <f>SUM(AL58:AP58)</f>
        <v>0</v>
      </c>
      <c r="AR58" s="598"/>
      <c r="AS58" s="598">
        <f>SUM(AQ58:AR58)</f>
        <v>0</v>
      </c>
      <c r="AT58" s="599">
        <f>AQ58*(1/((1+$AO$28)^(AK58-0.5)))</f>
        <v>0</v>
      </c>
      <c r="AU58" s="310">
        <f>AT58</f>
        <v>0</v>
      </c>
      <c r="AV58" s="287"/>
      <c r="AW58" s="116"/>
      <c r="AX58" s="56"/>
      <c r="AY58" s="113">
        <f>AL58</f>
        <v>0</v>
      </c>
      <c r="AZ58" s="113">
        <f>AM58</f>
        <v>0</v>
      </c>
      <c r="BA58" s="113">
        <f>AN58</f>
        <v>0</v>
      </c>
      <c r="BB58" s="113">
        <f>AO58</f>
        <v>0</v>
      </c>
      <c r="BC58" s="113">
        <f>AP58</f>
        <v>0</v>
      </c>
    </row>
    <row r="59" s="58" customFormat="1" ht="15" customHeight="1" hidden="1">
      <c r="Z59" t="s" s="88">
        <v>227</v>
      </c>
      <c r="AA59" t="s" s="533">
        <v>863</v>
      </c>
      <c r="AC59" s="534">
        <v>296.2</v>
      </c>
      <c r="AD59" t="s" s="535">
        <v>80</v>
      </c>
      <c r="AF59" t="s" s="88">
        <v>227</v>
      </c>
      <c r="AJ59" s="152">
        <f>AJ58+1</f>
        <v>22</v>
      </c>
      <c r="AK59" s="584">
        <f>AK58+1</f>
        <v>23</v>
      </c>
      <c r="AL59" s="598">
        <f>IF(AJ59=2017,AL58*0.99,IF(AJ59=2018,AL58*0.99,IF(AJ59=2019,AL58*0.99,AL58*(1+$AO$23))))</f>
        <v>0</v>
      </c>
      <c r="AM59" s="598">
        <f>ROUND(-AL59*$AO$19,0)</f>
        <v>0</v>
      </c>
      <c r="AN59" s="598">
        <f>IF(AK59&gt;$AO$27,0,ROUND(AN58*(1+$AO$24),0))</f>
        <v>0</v>
      </c>
      <c r="AO59" s="598">
        <f>IF(AK59&gt;$AO$27,0,ROUND(AO58*(1+$AO$25),0))</f>
        <v>0</v>
      </c>
      <c r="AP59" s="598">
        <f t="shared" si="1008"/>
        <v>0</v>
      </c>
      <c r="AQ59" s="598">
        <f>SUM(AL59:AP59)</f>
        <v>0</v>
      </c>
      <c r="AR59" s="598"/>
      <c r="AS59" s="598">
        <f>SUM(AQ59:AR59)</f>
        <v>0</v>
      </c>
      <c r="AT59" s="599">
        <f>AQ59*(1/((1+$AO$28)^(AK59-0.5)))</f>
        <v>0</v>
      </c>
      <c r="AU59" s="310">
        <f>AT59</f>
        <v>0</v>
      </c>
      <c r="AV59" s="287"/>
      <c r="AW59" s="116"/>
      <c r="AX59" s="56"/>
      <c r="AY59" s="113">
        <f>AL59</f>
        <v>0</v>
      </c>
      <c r="AZ59" s="113">
        <f>AM59</f>
        <v>0</v>
      </c>
      <c r="BA59" s="113">
        <f>AN59</f>
        <v>0</v>
      </c>
      <c r="BB59" s="113">
        <f>AO59</f>
        <v>0</v>
      </c>
      <c r="BC59" s="113">
        <f>AP59</f>
        <v>0</v>
      </c>
    </row>
    <row r="60" s="58" customFormat="1" ht="15" customHeight="1" hidden="1">
      <c r="Z60" t="s" s="88">
        <v>228</v>
      </c>
      <c r="AA60" t="s" s="533">
        <v>771</v>
      </c>
      <c r="AC60" s="534">
        <v>316.4</v>
      </c>
      <c r="AD60" t="s" s="535">
        <v>67</v>
      </c>
      <c r="AF60" t="s" s="88">
        <v>228</v>
      </c>
      <c r="AJ60" s="152">
        <f>AJ59+1</f>
        <v>23</v>
      </c>
      <c r="AK60" s="584">
        <f>AK59+1</f>
        <v>24</v>
      </c>
      <c r="AL60" s="598">
        <f>IF(AJ60=2017,AL59*0.99,IF(AJ60=2018,AL59*0.99,IF(AJ60=2019,AL59*0.99,AL59*(1+$AO$23))))</f>
        <v>0</v>
      </c>
      <c r="AM60" s="598">
        <f>ROUND(-AL60*$AO$19,0)</f>
        <v>0</v>
      </c>
      <c r="AN60" s="598">
        <f>IF(AK60&gt;$AO$27,0,ROUND(AN59*(1+$AO$24),0))</f>
        <v>0</v>
      </c>
      <c r="AO60" s="598">
        <f>IF(AK60&gt;$AO$27,0,ROUND(AO59*(1+$AO$25),0))</f>
        <v>0</v>
      </c>
      <c r="AP60" s="598">
        <f t="shared" si="1008"/>
        <v>0</v>
      </c>
      <c r="AQ60" s="598">
        <f>SUM(AL60:AP60)</f>
        <v>0</v>
      </c>
      <c r="AR60" s="598"/>
      <c r="AS60" s="598">
        <f>SUM(AQ60:AR60)</f>
        <v>0</v>
      </c>
      <c r="AT60" s="599">
        <f>AQ60*(1/((1+$AO$28)^(AK60-0.5)))</f>
        <v>0</v>
      </c>
      <c r="AU60" s="310">
        <f>AT60</f>
        <v>0</v>
      </c>
      <c r="AV60" s="287"/>
      <c r="AW60" s="116"/>
      <c r="AX60" s="56"/>
      <c r="AY60" s="113">
        <f>AL60</f>
        <v>0</v>
      </c>
      <c r="AZ60" s="113">
        <f>AM60</f>
        <v>0</v>
      </c>
      <c r="BA60" s="113">
        <f>AN60</f>
        <v>0</v>
      </c>
      <c r="BB60" s="113">
        <f>AO60</f>
        <v>0</v>
      </c>
      <c r="BC60" s="113">
        <f>AP60</f>
        <v>0</v>
      </c>
    </row>
    <row r="61" s="58" customFormat="1" ht="15" customHeight="1" hidden="1">
      <c r="Z61" t="s" s="88">
        <v>229</v>
      </c>
      <c r="AA61" t="s" s="533">
        <v>864</v>
      </c>
      <c r="AC61" s="534">
        <v>255.5</v>
      </c>
      <c r="AD61" t="s" s="535">
        <v>71</v>
      </c>
      <c r="AF61" t="s" s="88">
        <v>229</v>
      </c>
      <c r="AJ61" s="152">
        <f>AJ60+1</f>
        <v>24</v>
      </c>
      <c r="AK61" s="584">
        <f>AK60+1</f>
        <v>25</v>
      </c>
      <c r="AL61" s="598">
        <f>IF(AJ61=2017,AL60*0.99,IF(AJ61=2018,AL60*0.99,IF(AJ61=2019,AL60*0.99,AL60*(1+$AO$23))))</f>
        <v>0</v>
      </c>
      <c r="AM61" s="598">
        <f>ROUND(-AL61*$AO$19,0)</f>
        <v>0</v>
      </c>
      <c r="AN61" s="598">
        <f>IF(AK61&gt;$AO$27,0,ROUND(AN60*(1+$AO$24),0))</f>
        <v>0</v>
      </c>
      <c r="AO61" s="598">
        <f>IF(AK61&gt;$AO$27,0,ROUND(AO60*(1+$AO$25),0))</f>
        <v>0</v>
      </c>
      <c r="AP61" s="598">
        <f t="shared" si="1056" ref="AP61:AP63">$AP$133*0.057</f>
        <v>0</v>
      </c>
      <c r="AQ61" s="598">
        <f>SUM(AL61:AP61)</f>
        <v>0</v>
      </c>
      <c r="AR61" s="598"/>
      <c r="AS61" s="598">
        <f>SUM(AQ61:AR61)</f>
        <v>0</v>
      </c>
      <c r="AT61" s="599">
        <f>AQ61*(1/((1+$AO$28)^(AK61-0.5)))</f>
        <v>0</v>
      </c>
      <c r="AU61" s="310">
        <f>AT61</f>
        <v>0</v>
      </c>
      <c r="AV61" s="287"/>
      <c r="AW61" s="116"/>
      <c r="AX61" s="56"/>
      <c r="AY61" s="113">
        <f>AL61</f>
        <v>0</v>
      </c>
      <c r="AZ61" s="113">
        <f>AM61</f>
        <v>0</v>
      </c>
      <c r="BA61" s="113">
        <f>AN61</f>
        <v>0</v>
      </c>
      <c r="BB61" s="113">
        <f>AO61</f>
        <v>0</v>
      </c>
      <c r="BC61" s="113">
        <f>AP61</f>
        <v>0</v>
      </c>
    </row>
    <row r="62" s="58" customFormat="1" ht="15" customHeight="1" hidden="1">
      <c r="Z62" t="s" s="88">
        <v>230</v>
      </c>
      <c r="AA62" t="s" s="533">
        <v>761</v>
      </c>
      <c r="AC62" s="534">
        <v>323.7</v>
      </c>
      <c r="AD62" t="s" s="535">
        <v>65</v>
      </c>
      <c r="AF62" t="s" s="88">
        <v>230</v>
      </c>
      <c r="AJ62" s="152">
        <f>AJ61+1</f>
        <v>25</v>
      </c>
      <c r="AK62" s="584">
        <f>AK61+1</f>
        <v>26</v>
      </c>
      <c r="AL62" s="598">
        <f>IF(AJ62=2017,AL61*0.99,IF(AJ62=2018,AL61*0.99,IF(AJ62=2019,AL61*0.99,AL61*(1+$AO$23))))</f>
        <v>0</v>
      </c>
      <c r="AM62" s="598">
        <f>ROUND(-AL62*$AO$19,0)</f>
        <v>0</v>
      </c>
      <c r="AN62" s="598">
        <f>IF(AK62&gt;$AO$27,0,ROUND(AN61*(1+$AO$24),0))</f>
        <v>0</v>
      </c>
      <c r="AO62" s="598">
        <f>IF(AK62&gt;$AO$27,0,ROUND(AO61*(1+$AO$25),0))</f>
        <v>0</v>
      </c>
      <c r="AP62" s="598">
        <f t="shared" si="1056"/>
        <v>0</v>
      </c>
      <c r="AQ62" s="598">
        <f>SUM(AL62:AP62)</f>
        <v>0</v>
      </c>
      <c r="AR62" s="598"/>
      <c r="AS62" s="598">
        <f>SUM(AQ62:AR62)</f>
        <v>0</v>
      </c>
      <c r="AT62" s="599">
        <f>AQ62*(1/((1+$AO$28)^(AK62-0.5)))</f>
        <v>0</v>
      </c>
      <c r="AU62" s="310">
        <f>AT62</f>
        <v>0</v>
      </c>
      <c r="AV62" s="287"/>
      <c r="AW62" s="116"/>
      <c r="AX62" s="56"/>
      <c r="AY62" s="113">
        <f>AL62</f>
        <v>0</v>
      </c>
      <c r="AZ62" s="113">
        <f>AM62</f>
        <v>0</v>
      </c>
      <c r="BA62" s="113">
        <f>AN62</f>
        <v>0</v>
      </c>
      <c r="BB62" s="113">
        <f>AO62</f>
        <v>0</v>
      </c>
      <c r="BC62" s="113">
        <f>AP62</f>
        <v>0</v>
      </c>
    </row>
    <row r="63" s="58" customFormat="1" ht="15" customHeight="1" hidden="1">
      <c r="Z63" t="s" s="88">
        <v>231</v>
      </c>
      <c r="AA63" t="s" s="533">
        <v>864</v>
      </c>
      <c r="AC63" s="534">
        <v>255.5</v>
      </c>
      <c r="AD63" t="s" s="535">
        <v>71</v>
      </c>
      <c r="AF63" t="s" s="88">
        <v>231</v>
      </c>
      <c r="AJ63" s="152">
        <f>AJ62+1</f>
        <v>26</v>
      </c>
      <c r="AK63" s="584">
        <f>AK62+1</f>
        <v>27</v>
      </c>
      <c r="AL63" s="598">
        <f>IF(AJ63=2017,AL62*0.99,IF(AJ63=2018,AL62*0.99,IF(AJ63=2019,AL62*0.99,AL62*(1+$AO$23))))</f>
        <v>0</v>
      </c>
      <c r="AM63" s="598">
        <f>ROUND(-AL63*$AO$19,0)</f>
        <v>0</v>
      </c>
      <c r="AN63" s="598">
        <f>IF(AK63&gt;$AO$27,0,ROUND(AN62*(1+$AO$24),0))</f>
        <v>0</v>
      </c>
      <c r="AO63" s="598">
        <f>IF(AK63&gt;$AO$27,0,ROUND(AO62*(1+$AO$25),0))</f>
        <v>0</v>
      </c>
      <c r="AP63" s="598">
        <f t="shared" si="1056"/>
        <v>0</v>
      </c>
      <c r="AQ63" s="598">
        <f>SUM(AL63:AP63)</f>
        <v>0</v>
      </c>
      <c r="AR63" s="598"/>
      <c r="AS63" s="598">
        <f>SUM(AQ63:AR63)</f>
        <v>0</v>
      </c>
      <c r="AT63" s="599">
        <f>AQ63*(1/((1+$AO$28)^(AK63-0.5)))</f>
        <v>0</v>
      </c>
      <c r="AU63" s="310">
        <f>AT63</f>
        <v>0</v>
      </c>
      <c r="AV63" s="287"/>
      <c r="AW63" s="116"/>
      <c r="AX63" s="56"/>
      <c r="AY63" s="113">
        <f>AL63</f>
        <v>0</v>
      </c>
      <c r="AZ63" s="113">
        <f>AM63</f>
        <v>0</v>
      </c>
      <c r="BA63" s="113">
        <f>AN63</f>
        <v>0</v>
      </c>
      <c r="BB63" s="113">
        <f>AO63</f>
        <v>0</v>
      </c>
      <c r="BC63" s="113">
        <f>AP63</f>
        <v>0</v>
      </c>
    </row>
    <row r="64" s="58" customFormat="1" ht="15" customHeight="1" hidden="1">
      <c r="Z64" t="s" s="88">
        <v>232</v>
      </c>
      <c r="AA64" t="s" s="533">
        <v>763</v>
      </c>
      <c r="AC64" s="534">
        <v>276.1</v>
      </c>
      <c r="AD64" t="s" s="535">
        <v>63</v>
      </c>
      <c r="AF64" t="s" s="88">
        <v>232</v>
      </c>
      <c r="AJ64" s="152">
        <f>AJ63+1</f>
        <v>27</v>
      </c>
      <c r="AK64" s="584">
        <f>AK63+1</f>
        <v>28</v>
      </c>
      <c r="AL64" s="598">
        <f>IF(AJ64=2017,AL63*0.99,IF(AJ64=2018,AL63*0.99,IF(AJ64=2019,AL63*0.99,AL63*(1+$AO$23))))</f>
        <v>0</v>
      </c>
      <c r="AM64" s="598">
        <f>ROUND(-AL64*$AO$19,0)</f>
        <v>0</v>
      </c>
      <c r="AN64" s="598">
        <f>IF(AK64&gt;$AO$27,0,ROUND(AN63*(1+$AO$24),0))</f>
        <v>0</v>
      </c>
      <c r="AO64" s="598">
        <f>IF(AK64&gt;$AO$27,0,ROUND(AO63*(1+$AO$25),0))</f>
        <v>0</v>
      </c>
      <c r="AP64" s="598">
        <f t="shared" si="1104" ref="AP64:AP65">$AP$133*0.069</f>
        <v>0</v>
      </c>
      <c r="AQ64" s="598">
        <f>SUM(AL64:AP64)</f>
        <v>0</v>
      </c>
      <c r="AR64" s="598"/>
      <c r="AS64" s="598">
        <f>SUM(AQ64:AR64)</f>
        <v>0</v>
      </c>
      <c r="AT64" s="599">
        <f>AQ64*(1/((1+$AO$28)^(AK64-0.5)))</f>
        <v>0</v>
      </c>
      <c r="AU64" s="310">
        <f>AT64</f>
        <v>0</v>
      </c>
      <c r="AV64" s="287"/>
      <c r="AW64" s="116"/>
      <c r="AX64" s="56"/>
      <c r="AY64" s="113">
        <f>AL64</f>
        <v>0</v>
      </c>
      <c r="AZ64" s="113">
        <f>AM64</f>
        <v>0</v>
      </c>
      <c r="BA64" s="113">
        <f>AN64</f>
        <v>0</v>
      </c>
      <c r="BB64" s="113">
        <f>AO64</f>
        <v>0</v>
      </c>
      <c r="BC64" s="113">
        <f>AP64</f>
        <v>0</v>
      </c>
    </row>
    <row r="65" s="58" customFormat="1" ht="15" customHeight="1" hidden="1">
      <c r="Z65" t="s" s="88">
        <v>233</v>
      </c>
      <c r="AA65" t="s" s="533">
        <v>796</v>
      </c>
      <c r="AC65" s="534">
        <v>325.9</v>
      </c>
      <c r="AD65" t="s" s="535">
        <v>778</v>
      </c>
      <c r="AF65" t="s" s="88">
        <v>233</v>
      </c>
      <c r="AJ65" s="152">
        <f>AJ64+1</f>
        <v>28</v>
      </c>
      <c r="AK65" s="584">
        <f>AK64+1</f>
        <v>29</v>
      </c>
      <c r="AL65" s="598">
        <f>IF(AJ65=2017,AL64*0.99,IF(AJ65=2018,AL64*0.99,IF(AJ65=2019,AL64*0.99,AL64*(1+$AO$23))))</f>
        <v>0</v>
      </c>
      <c r="AM65" s="598">
        <f>ROUND(-AL65*$AO$19,0)</f>
        <v>0</v>
      </c>
      <c r="AN65" s="598">
        <f>IF(AK65&gt;$AO$27,0,ROUND(AN64*(1+$AO$24),0))</f>
        <v>0</v>
      </c>
      <c r="AO65" s="598">
        <f>IF(AK65&gt;$AO$27,0,ROUND(AO64*(1+$AO$25),0))</f>
        <v>0</v>
      </c>
      <c r="AP65" s="598">
        <f t="shared" si="1104"/>
        <v>0</v>
      </c>
      <c r="AQ65" s="598">
        <f>SUM(AL65:AP65)</f>
        <v>0</v>
      </c>
      <c r="AR65" s="598"/>
      <c r="AS65" s="598">
        <f>SUM(AQ65:AR65)</f>
        <v>0</v>
      </c>
      <c r="AT65" s="599">
        <f>AQ65*(1/((1+$AO$28)^(AK65-0.5)))</f>
        <v>0</v>
      </c>
      <c r="AU65" s="310">
        <f>AT65</f>
        <v>0</v>
      </c>
      <c r="AV65" s="287"/>
      <c r="AW65" s="116"/>
      <c r="AX65" s="56"/>
      <c r="AY65" s="113">
        <f>AL65</f>
        <v>0</v>
      </c>
      <c r="AZ65" s="113">
        <f>AM65</f>
        <v>0</v>
      </c>
      <c r="BA65" s="113">
        <f>AN65</f>
        <v>0</v>
      </c>
      <c r="BB65" s="113">
        <f>AO65</f>
        <v>0</v>
      </c>
      <c r="BC65" s="113">
        <f>AP65</f>
        <v>0</v>
      </c>
    </row>
    <row r="66" s="58" customFormat="1" ht="15" customHeight="1" hidden="1">
      <c r="Z66" t="s" s="88">
        <v>234</v>
      </c>
      <c r="AA66" t="s" s="533">
        <v>819</v>
      </c>
      <c r="AC66" s="534">
        <v>303.1</v>
      </c>
      <c r="AD66" t="s" s="535">
        <v>59</v>
      </c>
      <c r="AF66" t="s" s="88">
        <v>234</v>
      </c>
      <c r="AJ66" s="152">
        <f>AJ65+1</f>
        <v>29</v>
      </c>
      <c r="AK66" s="584">
        <f>AK65+1</f>
        <v>30</v>
      </c>
      <c r="AL66" s="598">
        <f>IF(AJ66=2017,AL65*0.99,IF(AJ66=2018,AL65*0.99,IF(AJ66=2019,AL65*0.99,AL65*(1+$AO$23))))</f>
        <v>0</v>
      </c>
      <c r="AM66" s="598">
        <f>ROUND(-AL66*$AO$19,0)</f>
        <v>0</v>
      </c>
      <c r="AN66" s="598">
        <f>IF(AK66&gt;$AO$27,0,ROUND(AN65*(1+$AO$24),0))</f>
        <v>0</v>
      </c>
      <c r="AO66" s="598">
        <f>IF(AK66&gt;$AO$27,0,ROUND(AO65*(1+$AO$25),0))</f>
        <v>0</v>
      </c>
      <c r="AP66" s="598">
        <f>$AP$133*0.07</f>
        <v>0</v>
      </c>
      <c r="AQ66" s="598">
        <f>SUM(AL66:AP66)</f>
        <v>0</v>
      </c>
      <c r="AR66" s="598">
        <v>0</v>
      </c>
      <c r="AS66" s="598">
        <f>SUM(AQ66:AR66)</f>
        <v>0</v>
      </c>
      <c r="AT66" s="599">
        <f>AS66*(1/((1+$AO$28)^(AK66-0.5)))</f>
        <v>0</v>
      </c>
      <c r="AU66" s="310">
        <f>AQ66*(1/((1+$AO$28)^(AK66-0.5)))</f>
        <v>0</v>
      </c>
      <c r="AV66" s="310">
        <f>SUM(AU37:AU66)</f>
        <v>0</v>
      </c>
      <c r="AW66" t="s" s="89">
        <v>865</v>
      </c>
      <c r="AX66" s="56"/>
      <c r="AY66" s="113">
        <f>AL66</f>
        <v>0</v>
      </c>
      <c r="AZ66" s="113">
        <f>AM66</f>
        <v>0</v>
      </c>
      <c r="BA66" s="113">
        <f>AN66</f>
        <v>0</v>
      </c>
      <c r="BB66" s="113">
        <f>AO66</f>
        <v>0</v>
      </c>
      <c r="BC66" s="113">
        <f>AP66</f>
        <v>0</v>
      </c>
    </row>
    <row r="67" s="58" customFormat="1" ht="15" customHeight="1" hidden="1">
      <c r="Z67" t="s" s="88">
        <v>235</v>
      </c>
      <c r="AA67" t="s" s="533">
        <v>796</v>
      </c>
      <c r="AC67" s="534">
        <v>325.9</v>
      </c>
      <c r="AD67" t="s" s="535">
        <v>778</v>
      </c>
      <c r="AF67" t="s" s="88">
        <v>235</v>
      </c>
      <c r="AJ67" s="152">
        <f>AJ66+1</f>
        <v>30</v>
      </c>
      <c r="AK67" s="584">
        <v>31</v>
      </c>
      <c r="AL67" s="598">
        <f>IF(AJ67=2017,AL66*0.99,IF(AJ67=2018,AL66*0.99,IF(AJ67=2019,AL66*0.99,AL66*(1+$AO$23))))</f>
        <v>0</v>
      </c>
      <c r="AM67" s="598">
        <f>ROUND(-AL67*$AO$19,0)</f>
        <v>0</v>
      </c>
      <c r="AN67" s="598">
        <f>IF(AK67&gt;$AO$27,0,ROUND(AN66*(1+$AO$24),0))</f>
        <v>0</v>
      </c>
      <c r="AO67" s="598">
        <f>IF(AK67&gt;$AO$27,0,ROUND(AO66*(1+$AO$25),0))</f>
        <v>0</v>
      </c>
      <c r="AP67" s="598">
        <f>-3896*AO17</f>
        <v>0</v>
      </c>
      <c r="AQ67" s="598">
        <f>SUM(AL67:AP67)</f>
        <v>0</v>
      </c>
      <c r="AR67" s="598"/>
      <c r="AS67" s="598">
        <f>SUM(AQ67:AR67)*0.5*0.9</f>
        <v>0</v>
      </c>
      <c r="AT67" s="599">
        <f>AS67*(1/((1+$AO$28)^(AK67-0.5)))</f>
        <v>0</v>
      </c>
      <c r="AU67" s="310">
        <f>AT67+(AT66-AU66)</f>
        <v>0</v>
      </c>
      <c r="AV67" s="287"/>
      <c r="AW67" s="116"/>
      <c r="AX67" s="56"/>
      <c r="AY67" s="113">
        <f>AL67</f>
        <v>0</v>
      </c>
      <c r="AZ67" s="113">
        <f>AM67</f>
        <v>0</v>
      </c>
      <c r="BA67" s="113">
        <f>AN67</f>
        <v>0</v>
      </c>
      <c r="BB67" s="113">
        <f>AO67</f>
        <v>0</v>
      </c>
      <c r="BC67" s="113">
        <f>AP67</f>
        <v>0</v>
      </c>
    </row>
    <row r="68" s="58" customFormat="1" ht="15" customHeight="1" hidden="1">
      <c r="Z68" t="s" s="88">
        <v>236</v>
      </c>
      <c r="AA68" t="s" s="533">
        <v>866</v>
      </c>
      <c r="AC68" s="534">
        <v>308</v>
      </c>
      <c r="AD68" t="s" s="535">
        <v>71</v>
      </c>
      <c r="AF68" t="s" s="88">
        <v>236</v>
      </c>
      <c r="AJ68" s="152">
        <f>AJ67+1</f>
        <v>31</v>
      </c>
      <c r="AK68" s="584">
        <v>32</v>
      </c>
      <c r="AL68" s="598">
        <f>IF(AJ68=2017,AL67*0.99,IF(AJ68=2018,AL67*0.99,IF(AJ68=2019,AL67*0.99,AL67*(1+$AO$23))))</f>
        <v>0</v>
      </c>
      <c r="AM68" s="598">
        <f>ROUND(-AL68*$AO$19,0)</f>
        <v>0</v>
      </c>
      <c r="AN68" s="598">
        <f>IF(AK68&gt;$AO$27,0,ROUND(AN67*(1+$AO$24),0))</f>
        <v>0</v>
      </c>
      <c r="AO68" s="598">
        <f>IF(AK68&gt;$AO$27,0,ROUND(AO67*(1+$AO$25),0))</f>
        <v>0</v>
      </c>
      <c r="AP68" s="598">
        <f>AP67*1.03</f>
        <v>0</v>
      </c>
      <c r="AQ68" s="598">
        <f>SUM(AL68:AP68)</f>
        <v>0</v>
      </c>
      <c r="AR68" s="598"/>
      <c r="AS68" s="598">
        <f>SUM(AQ68:AR68)*0.5*0.9</f>
        <v>0</v>
      </c>
      <c r="AT68" s="599">
        <f>AS68*(1/((1+$AO$28)^(AK68-0.5)))</f>
        <v>0</v>
      </c>
      <c r="AU68" s="310">
        <f>AT68</f>
        <v>0</v>
      </c>
      <c r="AV68" s="287"/>
      <c r="AW68" s="116"/>
      <c r="AX68" s="56"/>
      <c r="AY68" s="113">
        <f>AL68</f>
        <v>0</v>
      </c>
      <c r="AZ68" s="113">
        <f>AM68</f>
        <v>0</v>
      </c>
      <c r="BA68" s="113">
        <f>AN68</f>
        <v>0</v>
      </c>
      <c r="BB68" s="113">
        <f>AO68</f>
        <v>0</v>
      </c>
      <c r="BC68" s="113">
        <f>AP68</f>
        <v>0</v>
      </c>
    </row>
    <row r="69" s="58" customFormat="1" ht="15" customHeight="1" hidden="1">
      <c r="Z69" t="s" s="88">
        <v>237</v>
      </c>
      <c r="AA69" t="s" s="533">
        <v>867</v>
      </c>
      <c r="AC69" s="534">
        <v>323.8</v>
      </c>
      <c r="AD69" t="s" s="535">
        <v>67</v>
      </c>
      <c r="AF69" t="s" s="88">
        <v>237</v>
      </c>
      <c r="AJ69" s="152">
        <f>AJ68+1</f>
        <v>32</v>
      </c>
      <c r="AK69" s="584">
        <v>33</v>
      </c>
      <c r="AL69" s="598">
        <f>IF(AJ69=2017,AL68*0.99,IF(AJ69=2018,AL68*0.99,IF(AJ69=2019,AL68*0.99,AL68*(1+$AO$23))))</f>
        <v>0</v>
      </c>
      <c r="AM69" s="598">
        <f>ROUND(-AL69*$AO$19,0)</f>
        <v>0</v>
      </c>
      <c r="AN69" s="598">
        <f>IF(AK69&gt;$AO$27,0,ROUND(AN68*(1+$AO$24),0))</f>
        <v>0</v>
      </c>
      <c r="AO69" s="598">
        <f>IF(AK69&gt;$AO$27,0,ROUND(AO68*(1+$AO$25),0))</f>
        <v>0</v>
      </c>
      <c r="AP69" s="598">
        <f>AP68*1.03</f>
        <v>0</v>
      </c>
      <c r="AQ69" s="598">
        <f>SUM(AL69:AP69)</f>
        <v>0</v>
      </c>
      <c r="AR69" s="598"/>
      <c r="AS69" s="598">
        <f>SUM(AQ69:AR69)*0.5*0.9</f>
        <v>0</v>
      </c>
      <c r="AT69" s="599">
        <f>AS69*(1/((1+$AO$28)^(AK69-0.5)))</f>
        <v>0</v>
      </c>
      <c r="AU69" s="310">
        <f>AT69</f>
        <v>0</v>
      </c>
      <c r="AV69" s="287"/>
      <c r="AW69" s="116"/>
      <c r="AX69" s="56"/>
      <c r="AY69" s="113">
        <f>AL69</f>
        <v>0</v>
      </c>
      <c r="AZ69" s="113">
        <f>AM69</f>
        <v>0</v>
      </c>
      <c r="BA69" s="113">
        <f>AN69</f>
        <v>0</v>
      </c>
      <c r="BB69" s="113">
        <f>AO69</f>
        <v>0</v>
      </c>
      <c r="BC69" s="113">
        <f>AP69</f>
        <v>0</v>
      </c>
    </row>
    <row r="70" s="58" customFormat="1" ht="15" customHeight="1" hidden="1">
      <c r="Z70" t="s" s="88">
        <v>238</v>
      </c>
      <c r="AA70" t="s" s="533">
        <v>868</v>
      </c>
      <c r="AC70" s="534">
        <v>322</v>
      </c>
      <c r="AD70" t="s" s="535">
        <v>65</v>
      </c>
      <c r="AF70" t="s" s="88">
        <v>238</v>
      </c>
      <c r="AJ70" s="152">
        <f>AJ69+1</f>
        <v>33</v>
      </c>
      <c r="AK70" s="584">
        <v>34</v>
      </c>
      <c r="AL70" s="598">
        <f>IF(AJ70=2017,AL69*0.99,IF(AJ70=2018,AL69*0.99,IF(AJ70=2019,AL69*0.99,AL69*(1+$AO$23))))</f>
        <v>0</v>
      </c>
      <c r="AM70" s="598">
        <f>ROUND(-AL70*$AO$19,0)</f>
        <v>0</v>
      </c>
      <c r="AN70" s="598">
        <f>IF(AK70&gt;$AO$27,0,ROUND(AN69*(1+$AO$24),0))</f>
        <v>0</v>
      </c>
      <c r="AO70" s="598">
        <f>IF(AK70&gt;$AO$27,0,ROUND(AO69*(1+$AO$25),0))</f>
        <v>0</v>
      </c>
      <c r="AP70" s="598">
        <f>AP69*1.03</f>
        <v>0</v>
      </c>
      <c r="AQ70" s="598">
        <f>SUM(AL70:AP70)</f>
        <v>0</v>
      </c>
      <c r="AR70" s="598"/>
      <c r="AS70" s="598">
        <f>SUM(AQ70:AR70)*0.5*0.9</f>
        <v>0</v>
      </c>
      <c r="AT70" s="599">
        <f>AS70*(1/((1+$AO$28)^(AK70-0.5)))</f>
        <v>0</v>
      </c>
      <c r="AU70" s="310">
        <f>AT70</f>
        <v>0</v>
      </c>
      <c r="AV70" s="287"/>
      <c r="AW70" s="116"/>
      <c r="AX70" s="56"/>
      <c r="AY70" s="113">
        <f>AL70</f>
        <v>0</v>
      </c>
      <c r="AZ70" s="113">
        <f>AM70</f>
        <v>0</v>
      </c>
      <c r="BA70" s="113">
        <f>AN70</f>
        <v>0</v>
      </c>
      <c r="BB70" s="113">
        <f>AO70</f>
        <v>0</v>
      </c>
      <c r="BC70" s="113">
        <f>AP70</f>
        <v>0</v>
      </c>
    </row>
    <row r="71" s="58" customFormat="1" ht="15" customHeight="1" hidden="1">
      <c r="Z71" t="s" s="88">
        <v>239</v>
      </c>
      <c r="AA71" t="s" s="533">
        <v>765</v>
      </c>
      <c r="AC71" s="534">
        <v>321.1</v>
      </c>
      <c r="AD71" t="s" s="535">
        <v>59</v>
      </c>
      <c r="AF71" t="s" s="88">
        <v>239</v>
      </c>
      <c r="AJ71" s="152">
        <f>AJ70+1</f>
        <v>34</v>
      </c>
      <c r="AK71" s="584">
        <v>35</v>
      </c>
      <c r="AL71" s="598">
        <f>IF(AJ71=2017,AL70*0.99,IF(AJ71=2018,AL70*0.99,IF(AJ71=2019,AL70*0.99,AL70*(1+$AO$23))))</f>
        <v>0</v>
      </c>
      <c r="AM71" s="598">
        <f>ROUND(-AL71*$AO$19,0)</f>
        <v>0</v>
      </c>
      <c r="AN71" s="598">
        <f>IF(AK71&gt;$AO$27,0,ROUND(AN70*(1+$AO$24),0))</f>
        <v>0</v>
      </c>
      <c r="AO71" s="598">
        <f>IF(AK71&gt;$AO$27,0,ROUND(AO70*(1+$AO$25),0))</f>
        <v>0</v>
      </c>
      <c r="AP71" s="598">
        <f>AP70*1.03</f>
        <v>0</v>
      </c>
      <c r="AQ71" s="598">
        <f>SUM(AL71:AP71)</f>
        <v>0</v>
      </c>
      <c r="AR71" s="598"/>
      <c r="AS71" s="598">
        <f>SUM(AQ71:AR71)*0.5*0.9</f>
        <v>0</v>
      </c>
      <c r="AT71" s="599">
        <f>AS71*(1/((1+$AO$28)^(AK71-0.5)))</f>
        <v>0</v>
      </c>
      <c r="AU71" s="310">
        <f>AT71</f>
        <v>0</v>
      </c>
      <c r="AV71" s="287"/>
      <c r="AW71" s="116"/>
      <c r="AX71" s="56"/>
      <c r="AY71" s="113">
        <f>AL71</f>
        <v>0</v>
      </c>
      <c r="AZ71" s="113">
        <f>AM71</f>
        <v>0</v>
      </c>
      <c r="BA71" s="113">
        <f>AN71</f>
        <v>0</v>
      </c>
      <c r="BB71" s="113">
        <f>AO71</f>
        <v>0</v>
      </c>
      <c r="BC71" s="113">
        <f>AP71</f>
        <v>0</v>
      </c>
    </row>
    <row r="72" s="58" customFormat="1" ht="15" customHeight="1" hidden="1">
      <c r="Z72" t="s" s="88">
        <v>240</v>
      </c>
      <c r="AA72" t="s" s="533">
        <v>869</v>
      </c>
      <c r="AC72" s="534">
        <v>289.7</v>
      </c>
      <c r="AD72" t="s" s="535">
        <v>63</v>
      </c>
      <c r="AF72" t="s" s="88">
        <v>240</v>
      </c>
      <c r="AJ72" s="152">
        <f>AJ71+1</f>
        <v>35</v>
      </c>
      <c r="AK72" s="584">
        <v>36</v>
      </c>
      <c r="AL72" s="598">
        <f>IF(AJ72=2017,AL71*0.99,IF(AJ72=2018,AL71*0.99,IF(AJ72=2019,AL71*0.99,AL71*(1+$AO$23))))</f>
        <v>0</v>
      </c>
      <c r="AM72" s="598">
        <f>ROUND(-AL72*$AO$19,0)</f>
        <v>0</v>
      </c>
      <c r="AN72" s="598">
        <f>IF(AK72&gt;$AO$27,0,ROUND(AN71*(1+$AO$24),0))</f>
        <v>0</v>
      </c>
      <c r="AO72" s="598">
        <f>IF(AK72&gt;$AO$27,0,ROUND(AO71*(1+$AO$25),0))</f>
        <v>0</v>
      </c>
      <c r="AP72" s="598">
        <f>AP71*1.03</f>
        <v>0</v>
      </c>
      <c r="AQ72" s="598">
        <f>SUM(AL72:AP72)</f>
        <v>0</v>
      </c>
      <c r="AR72" s="598"/>
      <c r="AS72" s="598">
        <f>SUM(AQ72:AR72)*0.5*0.9</f>
        <v>0</v>
      </c>
      <c r="AT72" s="599">
        <f>AS72*(1/((1+$AO$28)^(AK72-0.5)))</f>
        <v>0</v>
      </c>
      <c r="AU72" s="310">
        <f>AT72</f>
        <v>0</v>
      </c>
      <c r="AV72" s="287"/>
      <c r="AW72" s="116"/>
      <c r="AX72" s="56"/>
      <c r="AY72" s="113">
        <f>AL72</f>
        <v>0</v>
      </c>
      <c r="AZ72" s="113">
        <f>AM72</f>
        <v>0</v>
      </c>
      <c r="BA72" s="113">
        <f>AN72</f>
        <v>0</v>
      </c>
      <c r="BB72" s="113">
        <f>AO72</f>
        <v>0</v>
      </c>
      <c r="BC72" s="113">
        <f>AP72</f>
        <v>0</v>
      </c>
    </row>
    <row r="73" s="58" customFormat="1" ht="15" customHeight="1" hidden="1">
      <c r="Z73" t="s" s="88">
        <v>241</v>
      </c>
      <c r="AA73" t="s" s="533">
        <v>760</v>
      </c>
      <c r="AC73" s="534">
        <v>332.5</v>
      </c>
      <c r="AD73" t="s" s="535">
        <v>67</v>
      </c>
      <c r="AF73" t="s" s="88">
        <v>241</v>
      </c>
      <c r="AJ73" s="152">
        <f>AJ72+1</f>
        <v>36</v>
      </c>
      <c r="AK73" s="584">
        <v>37</v>
      </c>
      <c r="AL73" s="598">
        <f>IF(AJ73=2017,AL72*0.99,IF(AJ73=2018,AL72*0.99,IF(AJ73=2019,AL72*0.99,AL72*(1+$AO$23))))</f>
        <v>0</v>
      </c>
      <c r="AM73" s="598">
        <f>ROUND(-AL73*$AO$19,0)</f>
        <v>0</v>
      </c>
      <c r="AN73" s="598">
        <f>IF(AK73&gt;$AO$27,0,ROUND(AN72*(1+$AO$24),0))</f>
        <v>0</v>
      </c>
      <c r="AO73" s="598">
        <f>IF(AK73&gt;$AO$27,0,ROUND(AO72*(1+$AO$25),0))</f>
        <v>0</v>
      </c>
      <c r="AP73" s="598">
        <f>AP72*1.03</f>
        <v>0</v>
      </c>
      <c r="AQ73" s="598">
        <f>SUM(AL73:AP73)</f>
        <v>0</v>
      </c>
      <c r="AR73" s="598"/>
      <c r="AS73" s="598">
        <f>SUM(AQ73:AR73)*0.5*0.9</f>
        <v>0</v>
      </c>
      <c r="AT73" s="599">
        <f>AS73*(1/((1+$AO$28)^(AK73-0.5)))</f>
        <v>0</v>
      </c>
      <c r="AU73" s="310">
        <f>AT73</f>
        <v>0</v>
      </c>
      <c r="AV73" s="287"/>
      <c r="AW73" s="116"/>
      <c r="AX73" s="56"/>
      <c r="AY73" s="113">
        <f>AL73</f>
        <v>0</v>
      </c>
      <c r="AZ73" s="113">
        <f>AM73</f>
        <v>0</v>
      </c>
      <c r="BA73" s="113">
        <f>AN73</f>
        <v>0</v>
      </c>
      <c r="BB73" s="113">
        <f>AO73</f>
        <v>0</v>
      </c>
      <c r="BC73" s="113">
        <f>AP73</f>
        <v>0</v>
      </c>
    </row>
    <row r="74" s="58" customFormat="1" ht="15" customHeight="1" hidden="1">
      <c r="Z74" t="s" s="88">
        <v>242</v>
      </c>
      <c r="AA74" t="s" s="533">
        <v>774</v>
      </c>
      <c r="AC74" s="534">
        <v>328.3</v>
      </c>
      <c r="AD74" t="s" s="535">
        <v>67</v>
      </c>
      <c r="AF74" t="s" s="88">
        <v>242</v>
      </c>
      <c r="AJ74" s="152">
        <f>AJ73+1</f>
        <v>37</v>
      </c>
      <c r="AK74" s="584">
        <v>38</v>
      </c>
      <c r="AL74" s="598">
        <f>IF(AJ74=2017,AL73*0.99,IF(AJ74=2018,AL73*0.99,IF(AJ74=2019,AL73*0.99,AL73*(1+$AO$23))))</f>
        <v>0</v>
      </c>
      <c r="AM74" s="598">
        <f>ROUND(-AL74*$AO$19,0)</f>
        <v>0</v>
      </c>
      <c r="AN74" s="598">
        <f>IF(AK74&gt;$AO$27,0,ROUND(AN73*(1+$AO$24),0))</f>
        <v>0</v>
      </c>
      <c r="AO74" s="598">
        <f>IF(AK74&gt;$AO$27,0,ROUND(AO73*(1+$AO$25),0))</f>
        <v>0</v>
      </c>
      <c r="AP74" s="598">
        <f>AP73*1.03</f>
        <v>0</v>
      </c>
      <c r="AQ74" s="598">
        <f>SUM(AL74:AP74)</f>
        <v>0</v>
      </c>
      <c r="AR74" s="598"/>
      <c r="AS74" s="598">
        <f>SUM(AQ74:AR74)*0.5*0.9</f>
        <v>0</v>
      </c>
      <c r="AT74" s="599">
        <f>AS74*(1/((1+$AO$28)^(AK74-0.5)))</f>
        <v>0</v>
      </c>
      <c r="AU74" s="310">
        <f>AT74</f>
        <v>0</v>
      </c>
      <c r="AV74" s="287"/>
      <c r="AW74" s="116"/>
      <c r="AX74" s="56"/>
      <c r="AY74" s="113">
        <f>AL74</f>
        <v>0</v>
      </c>
      <c r="AZ74" s="113">
        <f>AM74</f>
        <v>0</v>
      </c>
      <c r="BA74" s="113">
        <f>AN74</f>
        <v>0</v>
      </c>
      <c r="BB74" s="113">
        <f>AO74</f>
        <v>0</v>
      </c>
      <c r="BC74" s="113">
        <f>AP74</f>
        <v>0</v>
      </c>
    </row>
    <row r="75" s="58" customFormat="1" ht="15" customHeight="1" hidden="1">
      <c r="Z75" t="s" s="88">
        <v>243</v>
      </c>
      <c r="AA75" t="s" s="533">
        <v>822</v>
      </c>
      <c r="AC75" s="534">
        <v>302.7</v>
      </c>
      <c r="AD75" t="s" s="535">
        <v>65</v>
      </c>
      <c r="AF75" t="s" s="88">
        <v>243</v>
      </c>
      <c r="AJ75" s="152">
        <f>AJ74+1</f>
        <v>38</v>
      </c>
      <c r="AK75" s="584">
        <v>39</v>
      </c>
      <c r="AL75" s="598">
        <f>IF(AJ75=2017,AL74*0.99,IF(AJ75=2018,AL74*0.99,IF(AJ75=2019,AL74*0.99,AL74*(1+$AO$23))))</f>
        <v>0</v>
      </c>
      <c r="AM75" s="598">
        <f>ROUND(-AL75*$AO$19,0)</f>
        <v>0</v>
      </c>
      <c r="AN75" s="598">
        <f>IF(AK75&gt;$AO$27,0,ROUND(AN74*(1+$AO$24),0))</f>
        <v>0</v>
      </c>
      <c r="AO75" s="598">
        <f>IF(AK75&gt;$AO$27,0,ROUND(AO74*(1+$AO$25),0))</f>
        <v>0</v>
      </c>
      <c r="AP75" s="598">
        <f>AP74*1.03</f>
        <v>0</v>
      </c>
      <c r="AQ75" s="598">
        <f>SUM(AL75:AP75)</f>
        <v>0</v>
      </c>
      <c r="AR75" s="598"/>
      <c r="AS75" s="598">
        <f>SUM(AQ75:AR75)*0.5*0.9</f>
        <v>0</v>
      </c>
      <c r="AT75" s="599">
        <f>AS75*(1/((1+$AO$28)^(AK75-0.5)))</f>
        <v>0</v>
      </c>
      <c r="AU75" s="310">
        <f>AT75</f>
        <v>0</v>
      </c>
      <c r="AV75" s="287"/>
      <c r="AW75" s="116"/>
      <c r="AX75" s="56"/>
      <c r="AY75" s="113">
        <f>AL75</f>
        <v>0</v>
      </c>
      <c r="AZ75" s="113">
        <f>AM75</f>
        <v>0</v>
      </c>
      <c r="BA75" s="113">
        <f>AN75</f>
        <v>0</v>
      </c>
      <c r="BB75" s="113">
        <f>AO75</f>
        <v>0</v>
      </c>
      <c r="BC75" s="113">
        <f>AP75</f>
        <v>0</v>
      </c>
    </row>
    <row r="76" s="58" customFormat="1" ht="15" customHeight="1" hidden="1">
      <c r="Z76" t="s" s="88">
        <v>244</v>
      </c>
      <c r="AA76" t="s" s="533">
        <v>838</v>
      </c>
      <c r="AC76" s="534">
        <v>293.9</v>
      </c>
      <c r="AD76" t="s" s="535">
        <v>71</v>
      </c>
      <c r="AF76" t="s" s="88">
        <v>244</v>
      </c>
      <c r="AJ76" s="152">
        <f>AJ75+1</f>
        <v>39</v>
      </c>
      <c r="AK76" s="584">
        <v>40</v>
      </c>
      <c r="AL76" s="598">
        <f>IF(AJ76=2017,AL75*0.99,IF(AJ76=2018,AL75*0.99,IF(AJ76=2019,AL75*0.99,AL75*(1+$AO$23))))</f>
        <v>0</v>
      </c>
      <c r="AM76" s="598">
        <f>ROUND(-AL76*$AO$19,0)</f>
        <v>0</v>
      </c>
      <c r="AN76" s="598">
        <f>IF(AK76&gt;$AO$27,0,ROUND(AN75*(1+$AO$24),0))</f>
        <v>0</v>
      </c>
      <c r="AO76" s="598">
        <f>IF(AK76&gt;$AO$27,0,ROUND(AO75*(1+$AO$25),0))</f>
        <v>0</v>
      </c>
      <c r="AP76" s="598">
        <f>AP75*1.03</f>
        <v>0</v>
      </c>
      <c r="AQ76" s="598">
        <f>SUM(AL76:AP76)</f>
        <v>0</v>
      </c>
      <c r="AR76" s="598"/>
      <c r="AS76" s="598">
        <f>SUM(AQ76:AR76)*0.5*0.9</f>
        <v>0</v>
      </c>
      <c r="AT76" s="599">
        <f>AS76*(1/((1+$AO$28)^(AK76-0.5)))</f>
        <v>0</v>
      </c>
      <c r="AU76" s="310">
        <f>AT76</f>
        <v>0</v>
      </c>
      <c r="AV76" s="310">
        <f>SUM(AU37:AU76)</f>
        <v>0</v>
      </c>
      <c r="AW76" s="116"/>
      <c r="AX76" s="56"/>
      <c r="AY76" s="113">
        <f>AL76</f>
        <v>0</v>
      </c>
      <c r="AZ76" s="113">
        <f>AM76</f>
        <v>0</v>
      </c>
      <c r="BA76" s="113">
        <f>AN76</f>
        <v>0</v>
      </c>
      <c r="BB76" s="113">
        <f>AO76</f>
        <v>0</v>
      </c>
      <c r="BC76" s="113">
        <f>AP76</f>
        <v>0</v>
      </c>
    </row>
    <row r="77" s="58" customFormat="1" ht="15" customHeight="1" hidden="1">
      <c r="Z77" t="s" s="88">
        <v>247</v>
      </c>
      <c r="AA77" t="s" s="533">
        <v>861</v>
      </c>
      <c r="AC77" s="534">
        <v>354.1</v>
      </c>
      <c r="AD77" t="s" s="535">
        <v>862</v>
      </c>
      <c r="AF77" t="s" s="88">
        <v>247</v>
      </c>
      <c r="AJ77" s="152">
        <f>AJ76+1</f>
        <v>40</v>
      </c>
      <c r="AK77" s="584">
        <v>41</v>
      </c>
      <c r="AL77" s="598">
        <f>IF(AJ77=2017,AL76*0.99,IF(AJ77=2018,AL76*0.99,IF(AJ77=2019,AL76*0.99,AL76*(1+$AO$23))))</f>
        <v>0</v>
      </c>
      <c r="AM77" s="598">
        <f>ROUND(-AL77*$AO$19,0)</f>
        <v>0</v>
      </c>
      <c r="AN77" s="598">
        <f>IF(AK77&gt;$AO$27,0,ROUND(AN76*(1+$AO$24),0))</f>
        <v>0</v>
      </c>
      <c r="AO77" s="598">
        <f>IF(AK77&gt;$AO$27,0,ROUND(AO76*(1+$AO$25),0))</f>
        <v>0</v>
      </c>
      <c r="AP77" s="598">
        <f>AP76*1.03</f>
        <v>0</v>
      </c>
      <c r="AQ77" s="598">
        <f>SUM(AL77:AP77)</f>
        <v>0</v>
      </c>
      <c r="AR77" s="598"/>
      <c r="AS77" s="598">
        <f>SUM(AQ77:AR77)*0.5*0.9</f>
        <v>0</v>
      </c>
      <c r="AT77" s="599">
        <f>AS77*(1/((1+$AO$28)^(AK77-0.5)))</f>
        <v>0</v>
      </c>
      <c r="AU77" s="310">
        <f>AT77</f>
        <v>0</v>
      </c>
      <c r="AV77" s="287"/>
      <c r="AW77" s="116"/>
      <c r="AX77" s="56"/>
      <c r="AY77" s="113">
        <f>AL77</f>
        <v>0</v>
      </c>
      <c r="AZ77" s="113">
        <f>AM77</f>
        <v>0</v>
      </c>
      <c r="BA77" s="113">
        <f>AN77</f>
        <v>0</v>
      </c>
      <c r="BB77" s="113">
        <f>AO77</f>
        <v>0</v>
      </c>
      <c r="BC77" s="113">
        <f>AP77</f>
        <v>0</v>
      </c>
    </row>
    <row r="78" s="58" customFormat="1" ht="15" customHeight="1" hidden="1">
      <c r="Z78" t="s" s="88">
        <v>249</v>
      </c>
      <c r="AA78" t="s" s="533">
        <v>796</v>
      </c>
      <c r="AC78" s="534">
        <v>325.9</v>
      </c>
      <c r="AD78" t="s" s="535">
        <v>778</v>
      </c>
      <c r="AF78" t="s" s="88">
        <v>249</v>
      </c>
      <c r="AJ78" s="152">
        <f>AJ77+1</f>
        <v>41</v>
      </c>
      <c r="AK78" s="584">
        <v>42</v>
      </c>
      <c r="AL78" s="598">
        <f>IF(AJ78=2017,AL77*0.99,IF(AJ78=2018,AL77*0.99,IF(AJ78=2019,AL77*0.99,AL77*(1+$AO$23))))</f>
        <v>0</v>
      </c>
      <c r="AM78" s="598">
        <f>ROUND(-AL78*$AO$19,0)</f>
        <v>0</v>
      </c>
      <c r="AN78" s="598">
        <f>IF(AK78&gt;$AO$27,0,ROUND(AN77*(1+$AO$24),0))</f>
        <v>0</v>
      </c>
      <c r="AO78" s="598">
        <f>IF(AK78&gt;$AO$27,0,ROUND(AO77*(1+$AO$25),0))</f>
        <v>0</v>
      </c>
      <c r="AP78" s="598">
        <f>AP77*1.03</f>
        <v>0</v>
      </c>
      <c r="AQ78" s="598">
        <f>SUM(AL78:AP78)</f>
        <v>0</v>
      </c>
      <c r="AR78" s="598"/>
      <c r="AS78" s="598">
        <f>SUM(AQ78:AR78)*0.5*0.9</f>
        <v>0</v>
      </c>
      <c r="AT78" s="599">
        <f>AS78*(1/((1+$AO$28)^(AK78-0.5)))</f>
        <v>0</v>
      </c>
      <c r="AU78" s="310">
        <f>AT78</f>
        <v>0</v>
      </c>
      <c r="AV78" s="287"/>
      <c r="AW78" s="116"/>
      <c r="AX78" s="56"/>
      <c r="AY78" s="113">
        <f>AL78</f>
        <v>0</v>
      </c>
      <c r="AZ78" s="113">
        <f>AM78</f>
        <v>0</v>
      </c>
      <c r="BA78" s="113">
        <f>AN78</f>
        <v>0</v>
      </c>
      <c r="BB78" s="113">
        <f>AO78</f>
        <v>0</v>
      </c>
      <c r="BC78" s="113">
        <f>AP78</f>
        <v>0</v>
      </c>
    </row>
    <row r="79" s="58" customFormat="1" ht="15" customHeight="1" hidden="1">
      <c r="Z79" t="s" s="88">
        <v>250</v>
      </c>
      <c r="AA79" t="s" s="533">
        <v>868</v>
      </c>
      <c r="AC79" s="534">
        <v>322</v>
      </c>
      <c r="AD79" t="s" s="535">
        <v>65</v>
      </c>
      <c r="AF79" t="s" s="88">
        <v>250</v>
      </c>
      <c r="AJ79" s="152">
        <f>AJ78+1</f>
        <v>42</v>
      </c>
      <c r="AK79" s="584">
        <v>43</v>
      </c>
      <c r="AL79" s="598">
        <f>IF(AJ79=2017,AL78*0.99,IF(AJ79=2018,AL78*0.99,IF(AJ79=2019,AL78*0.99,AL78*(1+$AO$23))))</f>
        <v>0</v>
      </c>
      <c r="AM79" s="598">
        <f>ROUND(-AL79*$AO$19,0)</f>
        <v>0</v>
      </c>
      <c r="AN79" s="598">
        <f>IF(AK79&gt;$AO$27,0,ROUND(AN78*(1+$AO$24),0))</f>
        <v>0</v>
      </c>
      <c r="AO79" s="598">
        <f>IF(AK79&gt;$AO$27,0,ROUND(AO78*(1+$AO$25),0))</f>
        <v>0</v>
      </c>
      <c r="AP79" s="598">
        <f>AP78*1.03</f>
        <v>0</v>
      </c>
      <c r="AQ79" s="598">
        <f>SUM(AL79:AP79)</f>
        <v>0</v>
      </c>
      <c r="AR79" s="598"/>
      <c r="AS79" s="598">
        <f>SUM(AQ79:AR79)*0.5*0.9</f>
        <v>0</v>
      </c>
      <c r="AT79" s="599">
        <f>AS79*(1/((1+$AO$28)^(AK79-0.5)))</f>
        <v>0</v>
      </c>
      <c r="AU79" s="310">
        <f>AT79</f>
        <v>0</v>
      </c>
      <c r="AV79" s="287"/>
      <c r="AW79" s="116"/>
      <c r="AX79" s="56"/>
      <c r="AY79" s="113">
        <f>AL79</f>
        <v>0</v>
      </c>
      <c r="AZ79" s="113">
        <f>AM79</f>
        <v>0</v>
      </c>
      <c r="BA79" s="113">
        <f>AN79</f>
        <v>0</v>
      </c>
      <c r="BB79" s="113">
        <f>AO79</f>
        <v>0</v>
      </c>
      <c r="BC79" s="113">
        <f>AP79</f>
        <v>0</v>
      </c>
    </row>
    <row r="80" s="58" customFormat="1" ht="15" customHeight="1" hidden="1">
      <c r="Z80" t="s" s="88">
        <v>251</v>
      </c>
      <c r="AA80" t="s" s="533">
        <v>761</v>
      </c>
      <c r="AC80" s="534">
        <v>323.7</v>
      </c>
      <c r="AD80" t="s" s="535">
        <v>65</v>
      </c>
      <c r="AF80" t="s" s="88">
        <v>251</v>
      </c>
      <c r="AJ80" s="152">
        <f>AJ79+1</f>
        <v>43</v>
      </c>
      <c r="AK80" s="584">
        <v>44</v>
      </c>
      <c r="AL80" s="598">
        <f>IF(AJ80=2017,AL79*0.99,IF(AJ80=2018,AL79*0.99,IF(AJ80=2019,AL79*0.99,AL79*(1+$AO$23))))</f>
        <v>0</v>
      </c>
      <c r="AM80" s="598">
        <f>ROUND(-AL80*$AO$19,0)</f>
        <v>0</v>
      </c>
      <c r="AN80" s="598">
        <f>IF(AK80&gt;$AO$27,0,ROUND(AN79*(1+$AO$24),0))</f>
        <v>0</v>
      </c>
      <c r="AO80" s="598">
        <f>IF(AK80&gt;$AO$27,0,ROUND(AO79*(1+$AO$25),0))</f>
        <v>0</v>
      </c>
      <c r="AP80" s="598">
        <f>AP79*1.03</f>
        <v>0</v>
      </c>
      <c r="AQ80" s="598">
        <f>SUM(AL80:AP80)</f>
        <v>0</v>
      </c>
      <c r="AR80" s="598"/>
      <c r="AS80" s="598">
        <f>SUM(AQ80:AR80)*0.5*0.9</f>
        <v>0</v>
      </c>
      <c r="AT80" s="599">
        <f>AS80*(1/((1+$AO$28)^(AK80-0.5)))</f>
        <v>0</v>
      </c>
      <c r="AU80" s="310">
        <f>AT80</f>
        <v>0</v>
      </c>
      <c r="AV80" s="287"/>
      <c r="AW80" s="116"/>
      <c r="AX80" s="56"/>
      <c r="AY80" s="113">
        <f>AL80</f>
        <v>0</v>
      </c>
      <c r="AZ80" s="113">
        <f>AM80</f>
        <v>0</v>
      </c>
      <c r="BA80" s="113">
        <f>AN80</f>
        <v>0</v>
      </c>
      <c r="BB80" s="113">
        <f>AO80</f>
        <v>0</v>
      </c>
      <c r="BC80" s="113">
        <f>AP80</f>
        <v>0</v>
      </c>
    </row>
    <row r="81" s="58" customFormat="1" ht="15" customHeight="1" hidden="1">
      <c r="Z81" t="s" s="88">
        <v>252</v>
      </c>
      <c r="AA81" t="s" s="533">
        <v>870</v>
      </c>
      <c r="AC81" s="534">
        <v>328.5</v>
      </c>
      <c r="AD81" t="s" s="535">
        <v>59</v>
      </c>
      <c r="AF81" t="s" s="88">
        <v>252</v>
      </c>
      <c r="AJ81" s="152">
        <f>AJ80+1</f>
        <v>44</v>
      </c>
      <c r="AK81" s="584">
        <v>45</v>
      </c>
      <c r="AL81" s="598">
        <f>IF(AJ81=2017,AL80*0.99,IF(AJ81=2018,AL80*0.99,IF(AJ81=2019,AL80*0.99,AL80*(1+$AO$23))))</f>
        <v>0</v>
      </c>
      <c r="AM81" s="598">
        <f>ROUND(-AL81*$AO$19,0)</f>
        <v>0</v>
      </c>
      <c r="AN81" s="598">
        <f>IF(AK81&gt;$AO$27,0,ROUND(AN80*(1+$AO$24),0))</f>
        <v>0</v>
      </c>
      <c r="AO81" s="598">
        <f>IF(AK81&gt;$AO$27,0,ROUND(AO80*(1+$AO$25),0))</f>
        <v>0</v>
      </c>
      <c r="AP81" s="598">
        <f>AP80*1.03</f>
        <v>0</v>
      </c>
      <c r="AQ81" s="598">
        <f>SUM(AL81:AP81)</f>
        <v>0</v>
      </c>
      <c r="AR81" s="598"/>
      <c r="AS81" s="598">
        <f>SUM(AQ81:AR81)*0.5*0.9</f>
        <v>0</v>
      </c>
      <c r="AT81" s="599">
        <f>AS81*(1/((1+$AO$28)^(AK81-0.5)))</f>
        <v>0</v>
      </c>
      <c r="AU81" s="310">
        <f>AT81</f>
        <v>0</v>
      </c>
      <c r="AV81" s="287"/>
      <c r="AW81" s="116"/>
      <c r="AX81" s="56"/>
      <c r="AY81" s="113">
        <f>AL81</f>
        <v>0</v>
      </c>
      <c r="AZ81" s="113">
        <f>AM81</f>
        <v>0</v>
      </c>
      <c r="BA81" s="113">
        <f>AN81</f>
        <v>0</v>
      </c>
      <c r="BB81" s="113">
        <f>AO81</f>
        <v>0</v>
      </c>
      <c r="BC81" s="113">
        <f>AP81</f>
        <v>0</v>
      </c>
    </row>
    <row r="82" s="58" customFormat="1" ht="15" customHeight="1" hidden="1">
      <c r="Z82" t="s" s="88">
        <v>253</v>
      </c>
      <c r="AA82" t="s" s="533">
        <v>866</v>
      </c>
      <c r="AC82" s="534">
        <v>308</v>
      </c>
      <c r="AD82" t="s" s="535">
        <v>71</v>
      </c>
      <c r="AF82" t="s" s="88">
        <v>253</v>
      </c>
      <c r="AJ82" s="152">
        <f>AJ81+1</f>
        <v>45</v>
      </c>
      <c r="AK82" s="584">
        <v>46</v>
      </c>
      <c r="AL82" s="598">
        <f>IF(AJ82=2017,AL81*0.99,IF(AJ82=2018,AL81*0.99,IF(AJ82=2019,AL81*0.99,AL81*(1+$AO$23))))</f>
        <v>0</v>
      </c>
      <c r="AM82" s="598">
        <f>ROUND(-AL82*$AO$19,0)</f>
        <v>0</v>
      </c>
      <c r="AN82" s="598">
        <f>IF(AK82&gt;$AO$27,0,ROUND(AN81*(1+$AO$24),0))</f>
        <v>0</v>
      </c>
      <c r="AO82" s="598">
        <f>IF(AK82&gt;$AO$27,0,ROUND(AO81*(1+$AO$25),0))</f>
        <v>0</v>
      </c>
      <c r="AP82" s="598">
        <f>AP81*1.03</f>
        <v>0</v>
      </c>
      <c r="AQ82" s="598">
        <f>SUM(AL82:AP82)</f>
        <v>0</v>
      </c>
      <c r="AR82" s="598"/>
      <c r="AS82" s="598">
        <f>SUM(AQ82:AR82)*0.5*0.9</f>
        <v>0</v>
      </c>
      <c r="AT82" s="599">
        <f>AS82*(1/((1+$AO$28)^(AK82-0.5)))</f>
        <v>0</v>
      </c>
      <c r="AU82" s="310">
        <f>AT82</f>
        <v>0</v>
      </c>
      <c r="AV82" s="287"/>
      <c r="AW82" s="116"/>
      <c r="AX82" s="56"/>
      <c r="AY82" s="113">
        <f>AL82</f>
        <v>0</v>
      </c>
      <c r="AZ82" s="113">
        <f>AM82</f>
        <v>0</v>
      </c>
      <c r="BA82" s="113">
        <f>AN82</f>
        <v>0</v>
      </c>
      <c r="BB82" s="113">
        <f>AO82</f>
        <v>0</v>
      </c>
      <c r="BC82" s="113">
        <f>AP82</f>
        <v>0</v>
      </c>
    </row>
    <row r="83" s="58" customFormat="1" ht="15" customHeight="1" hidden="1">
      <c r="Z83" t="s" s="88">
        <v>254</v>
      </c>
      <c r="AA83" t="s" s="533">
        <v>815</v>
      </c>
      <c r="AC83" s="534">
        <v>320.6</v>
      </c>
      <c r="AD83" t="s" s="535">
        <v>80</v>
      </c>
      <c r="AF83" t="s" s="88">
        <v>254</v>
      </c>
      <c r="AJ83" s="152">
        <f>AJ82+1</f>
        <v>46</v>
      </c>
      <c r="AK83" s="584">
        <v>47</v>
      </c>
      <c r="AL83" s="598">
        <f>IF(AJ83=2017,AL82*0.99,IF(AJ83=2018,AL82*0.99,IF(AJ83=2019,AL82*0.99,AL82*(1+$AO$23))))</f>
        <v>0</v>
      </c>
      <c r="AM83" s="598">
        <f>ROUND(-AL83*$AO$19,0)</f>
        <v>0</v>
      </c>
      <c r="AN83" s="598">
        <f>IF(AK83&gt;$AO$27,0,ROUND(AN82*(1+$AO$24),0))</f>
        <v>0</v>
      </c>
      <c r="AO83" s="598">
        <f>IF(AK83&gt;$AO$27,0,ROUND(AO82*(1+$AO$25),0))</f>
        <v>0</v>
      </c>
      <c r="AP83" s="598">
        <f>AP82*1.03</f>
        <v>0</v>
      </c>
      <c r="AQ83" s="598">
        <f>SUM(AL83:AP83)</f>
        <v>0</v>
      </c>
      <c r="AR83" s="598"/>
      <c r="AS83" s="598">
        <f>SUM(AQ83:AR83)*0.5*0.9</f>
        <v>0</v>
      </c>
      <c r="AT83" s="599">
        <f>AS83*(1/((1+$AO$28)^(AK83-0.5)))</f>
        <v>0</v>
      </c>
      <c r="AU83" s="310">
        <f>AT83</f>
        <v>0</v>
      </c>
      <c r="AV83" s="287"/>
      <c r="AW83" s="116"/>
      <c r="AX83" s="56"/>
      <c r="AY83" s="113">
        <f>AL83</f>
        <v>0</v>
      </c>
      <c r="AZ83" s="113">
        <f>AM83</f>
        <v>0</v>
      </c>
      <c r="BA83" s="113">
        <f>AN83</f>
        <v>0</v>
      </c>
      <c r="BB83" s="113">
        <f>AO83</f>
        <v>0</v>
      </c>
      <c r="BC83" s="113">
        <f>AP83</f>
        <v>0</v>
      </c>
    </row>
    <row r="84" s="58" customFormat="1" ht="15" customHeight="1" hidden="1">
      <c r="Z84" t="s" s="88">
        <v>255</v>
      </c>
      <c r="AA84" t="s" s="533">
        <v>871</v>
      </c>
      <c r="AC84" s="534">
        <v>299.6</v>
      </c>
      <c r="AD84" t="s" s="535">
        <v>791</v>
      </c>
      <c r="AF84" t="s" s="88">
        <v>255</v>
      </c>
      <c r="AJ84" s="152">
        <f>AJ83+1</f>
        <v>47</v>
      </c>
      <c r="AK84" s="584">
        <v>48</v>
      </c>
      <c r="AL84" s="598">
        <f>IF(AJ84=2017,AL83*0.99,IF(AJ84=2018,AL83*0.99,IF(AJ84=2019,AL83*0.99,AL83*(1+$AO$23))))</f>
        <v>0</v>
      </c>
      <c r="AM84" s="598">
        <f>ROUND(-AL84*$AO$19,0)</f>
        <v>0</v>
      </c>
      <c r="AN84" s="598">
        <f>IF(AK84&gt;$AO$27,0,ROUND(AN83*(1+$AO$24),0))</f>
        <v>0</v>
      </c>
      <c r="AO84" s="598">
        <f>IF(AK84&gt;$AO$27,0,ROUND(AO83*(1+$AO$25),0))</f>
        <v>0</v>
      </c>
      <c r="AP84" s="598">
        <f>AP83*1.03</f>
        <v>0</v>
      </c>
      <c r="AQ84" s="598">
        <f>SUM(AL84:AP84)</f>
        <v>0</v>
      </c>
      <c r="AR84" s="598"/>
      <c r="AS84" s="598">
        <f>SUM(AQ84:AR84)*0.5*0.9</f>
        <v>0</v>
      </c>
      <c r="AT84" s="599">
        <f>AS84*(1/((1+$AO$28)^(AK84-0.5)))</f>
        <v>0</v>
      </c>
      <c r="AU84" s="310">
        <f>AT84</f>
        <v>0</v>
      </c>
      <c r="AV84" s="287"/>
      <c r="AW84" s="116"/>
      <c r="AX84" s="56"/>
      <c r="AY84" s="113">
        <f>AL84</f>
        <v>0</v>
      </c>
      <c r="AZ84" s="113">
        <f>AM84</f>
        <v>0</v>
      </c>
      <c r="BA84" s="113">
        <f>AN84</f>
        <v>0</v>
      </c>
      <c r="BB84" s="113">
        <f>AO84</f>
        <v>0</v>
      </c>
      <c r="BC84" s="113">
        <f>AP84</f>
        <v>0</v>
      </c>
    </row>
    <row r="85" s="58" customFormat="1" ht="15" customHeight="1" hidden="1">
      <c r="Z85" t="s" s="88">
        <v>256</v>
      </c>
      <c r="AA85" t="s" s="533">
        <v>760</v>
      </c>
      <c r="AC85" s="534">
        <v>332.5</v>
      </c>
      <c r="AD85" t="s" s="535">
        <v>67</v>
      </c>
      <c r="AF85" t="s" s="88">
        <v>256</v>
      </c>
      <c r="AJ85" s="152">
        <f>AJ84+1</f>
        <v>48</v>
      </c>
      <c r="AK85" s="584">
        <v>49</v>
      </c>
      <c r="AL85" s="598">
        <f>IF(AJ85=2017,AL84*0.99,IF(AJ85=2018,AL84*0.99,IF(AJ85=2019,AL84*0.99,AL84*(1+$AO$23))))</f>
        <v>0</v>
      </c>
      <c r="AM85" s="598">
        <f>ROUND(-AL85*$AO$19,0)</f>
        <v>0</v>
      </c>
      <c r="AN85" s="598">
        <f>IF(AK85&gt;$AO$27,0,ROUND(AN84*(1+$AO$24),0))</f>
        <v>0</v>
      </c>
      <c r="AO85" s="598">
        <f>IF(AK85&gt;$AO$27,0,ROUND(AO84*(1+$AO$25),0))</f>
        <v>0</v>
      </c>
      <c r="AP85" s="598">
        <f>AP84*1.03</f>
        <v>0</v>
      </c>
      <c r="AQ85" s="598">
        <f>SUM(AL85:AP85)</f>
        <v>0</v>
      </c>
      <c r="AR85" s="598"/>
      <c r="AS85" s="598">
        <f>SUM(AQ85:AR85)*0.5*0.9</f>
        <v>0</v>
      </c>
      <c r="AT85" s="599">
        <f>AS85*(1/((1+$AO$28)^(AK85-0.5)))</f>
        <v>0</v>
      </c>
      <c r="AU85" s="310">
        <f>AT85</f>
        <v>0</v>
      </c>
      <c r="AV85" s="287"/>
      <c r="AW85" s="116"/>
      <c r="AX85" s="56"/>
      <c r="AY85" s="113">
        <f>AL85</f>
        <v>0</v>
      </c>
      <c r="AZ85" s="113">
        <f>AM85</f>
        <v>0</v>
      </c>
      <c r="BA85" s="113">
        <f>AN85</f>
        <v>0</v>
      </c>
      <c r="BB85" s="113">
        <f>AO85</f>
        <v>0</v>
      </c>
      <c r="BC85" s="113">
        <f>AP85</f>
        <v>0</v>
      </c>
    </row>
    <row r="86" s="58" customFormat="1" ht="15" customHeight="1" hidden="1">
      <c r="Z86" t="s" s="88">
        <v>257</v>
      </c>
      <c r="AA86" t="s" s="533">
        <v>868</v>
      </c>
      <c r="AC86" s="534">
        <v>322</v>
      </c>
      <c r="AD86" t="s" s="535">
        <v>65</v>
      </c>
      <c r="AF86" t="s" s="88">
        <v>257</v>
      </c>
      <c r="AJ86" s="152">
        <f>AJ85+1</f>
        <v>49</v>
      </c>
      <c r="AK86" s="584">
        <v>50</v>
      </c>
      <c r="AL86" s="598">
        <f>IF(AJ86=2017,AL85*0.99,IF(AJ86=2018,AL85*0.99,IF(AJ86=2019,AL85*0.99,AL85*(1+$AO$23))))</f>
        <v>0</v>
      </c>
      <c r="AM86" s="598">
        <f>ROUND(-AL86*$AO$19,0)</f>
        <v>0</v>
      </c>
      <c r="AN86" s="598">
        <f>IF(AK86&gt;$AO$27,0,ROUND(AN85*(1+$AO$24),0))</f>
        <v>0</v>
      </c>
      <c r="AO86" s="598">
        <f>IF(AK86&gt;$AO$27,0,ROUND(AO85*(1+$AO$25),0))</f>
        <v>0</v>
      </c>
      <c r="AP86" s="598">
        <f>AP85*1.03</f>
        <v>0</v>
      </c>
      <c r="AQ86" s="598">
        <f>SUM(AL86:AP86)</f>
        <v>0</v>
      </c>
      <c r="AR86" s="598"/>
      <c r="AS86" s="598">
        <f>SUM(AQ86:AR86)*0.5*0.9</f>
        <v>0</v>
      </c>
      <c r="AT86" s="599">
        <f>AS86*(1/((1+$AO$28)^(AK86-0.5)))</f>
        <v>0</v>
      </c>
      <c r="AU86" s="310">
        <f>AT86</f>
        <v>0</v>
      </c>
      <c r="AV86" s="310">
        <f>SUM(AU37:AU86)</f>
        <v>0</v>
      </c>
      <c r="AW86" s="116"/>
      <c r="AX86" s="56"/>
      <c r="AY86" s="113">
        <f>AL86</f>
        <v>0</v>
      </c>
      <c r="AZ86" s="113">
        <f>AM86</f>
        <v>0</v>
      </c>
      <c r="BA86" s="113">
        <f>AN86</f>
        <v>0</v>
      </c>
      <c r="BB86" s="113">
        <f>AO86</f>
        <v>0</v>
      </c>
      <c r="BC86" s="113">
        <f>AP86</f>
        <v>0</v>
      </c>
    </row>
    <row r="87" s="58" customFormat="1" ht="15" customHeight="1" hidden="1">
      <c r="Z87" t="s" s="88">
        <v>258</v>
      </c>
      <c r="AA87" t="s" s="533">
        <v>781</v>
      </c>
      <c r="AC87" s="534">
        <v>354.1</v>
      </c>
      <c r="AD87" t="s" s="535">
        <v>782</v>
      </c>
      <c r="AF87" t="s" s="88">
        <v>258</v>
      </c>
      <c r="AJ87" s="152">
        <f>AJ86+1</f>
        <v>50</v>
      </c>
      <c r="AK87" s="584">
        <v>51</v>
      </c>
      <c r="AL87" s="598">
        <f>IF(AJ87=2017,AL86*0.99,IF(AJ87=2018,AL86*0.99,IF(AJ87=2019,AL86*0.99,AL86*(1+$AO$23))))</f>
        <v>0</v>
      </c>
      <c r="AM87" s="598">
        <f>ROUND(-AL87*$AO$19,0)</f>
        <v>0</v>
      </c>
      <c r="AN87" s="598">
        <f>IF(AK87&gt;$AO$27,0,ROUND(AN86*(1+$AO$24),0))</f>
        <v>0</v>
      </c>
      <c r="AO87" s="598">
        <f>IF(AK87&gt;$AO$27,0,ROUND(AO86*(1+$AO$25),0))</f>
        <v>0</v>
      </c>
      <c r="AP87" s="598">
        <f>AP86*1.03</f>
        <v>0</v>
      </c>
      <c r="AQ87" s="598">
        <f>SUM(AL87:AP87)</f>
        <v>0</v>
      </c>
      <c r="AR87" s="598"/>
      <c r="AS87" s="598">
        <f>SUM(AQ87:AR87)*0.5*0.9</f>
        <v>0</v>
      </c>
      <c r="AT87" s="599">
        <f>AS87*(1/((1+$AO$28)^(AK87-0.5)))</f>
        <v>0</v>
      </c>
      <c r="AU87" s="310">
        <f>AT87</f>
        <v>0</v>
      </c>
      <c r="AV87" s="287"/>
      <c r="AW87" s="116"/>
      <c r="AX87" s="56"/>
      <c r="AY87" s="113">
        <f>AL87</f>
        <v>0</v>
      </c>
      <c r="AZ87" s="113">
        <f>AM87</f>
        <v>0</v>
      </c>
      <c r="BA87" s="113">
        <f>AN87</f>
        <v>0</v>
      </c>
      <c r="BB87" s="113">
        <f>AO87</f>
        <v>0</v>
      </c>
      <c r="BC87" s="113">
        <f>AP87</f>
        <v>0</v>
      </c>
    </row>
    <row r="88" s="58" customFormat="1" ht="15" customHeight="1" hidden="1">
      <c r="Z88" t="s" s="88">
        <v>259</v>
      </c>
      <c r="AA88" t="s" s="533">
        <v>858</v>
      </c>
      <c r="AC88" s="534">
        <v>343.7</v>
      </c>
      <c r="AD88" t="s" s="535">
        <v>778</v>
      </c>
      <c r="AF88" t="s" s="88">
        <v>259</v>
      </c>
      <c r="AJ88" s="152">
        <f>AJ87+1</f>
        <v>51</v>
      </c>
      <c r="AK88" s="584">
        <v>52</v>
      </c>
      <c r="AL88" s="598">
        <f>IF(AJ88=2017,AL87*0.99,IF(AJ88=2018,AL87*0.99,IF(AJ88=2019,AL87*0.99,AL87*(1+$AO$23))))</f>
        <v>0</v>
      </c>
      <c r="AM88" s="598">
        <f>ROUND(-AL88*$AO$19,0)</f>
        <v>0</v>
      </c>
      <c r="AN88" s="598">
        <f>IF(AK88&gt;$AO$27,0,ROUND(AN87*(1+$AO$24),0))</f>
        <v>0</v>
      </c>
      <c r="AO88" s="598">
        <f>IF(AK88&gt;$AO$27,0,ROUND(AO87*(1+$AO$25),0))</f>
        <v>0</v>
      </c>
      <c r="AP88" s="598">
        <f>AP87*1.03</f>
        <v>0</v>
      </c>
      <c r="AQ88" s="598">
        <f>SUM(AL88:AP88)</f>
        <v>0</v>
      </c>
      <c r="AR88" s="598"/>
      <c r="AS88" s="598">
        <f>SUM(AQ88:AR88)*0.5*0.9</f>
        <v>0</v>
      </c>
      <c r="AT88" s="599">
        <f>AS88*(1/((1+$AO$28)^(AK88-0.5)))</f>
        <v>0</v>
      </c>
      <c r="AU88" s="310">
        <f>AT88</f>
        <v>0</v>
      </c>
      <c r="AV88" s="287"/>
      <c r="AW88" s="116"/>
      <c r="AX88" s="56"/>
      <c r="AY88" s="113">
        <f>AL88</f>
        <v>0</v>
      </c>
      <c r="AZ88" s="113">
        <f>AM88</f>
        <v>0</v>
      </c>
      <c r="BA88" s="113">
        <f>AN88</f>
        <v>0</v>
      </c>
      <c r="BB88" s="113">
        <f>AO88</f>
        <v>0</v>
      </c>
      <c r="BC88" s="113">
        <f>AP88</f>
        <v>0</v>
      </c>
    </row>
    <row r="89" s="58" customFormat="1" ht="15" customHeight="1" hidden="1">
      <c r="Z89" t="s" s="88">
        <v>260</v>
      </c>
      <c r="AA89" t="s" s="533">
        <v>869</v>
      </c>
      <c r="AC89" s="534">
        <v>289.7</v>
      </c>
      <c r="AD89" t="s" s="535">
        <v>63</v>
      </c>
      <c r="AF89" t="s" s="88">
        <v>260</v>
      </c>
      <c r="AJ89" s="152">
        <f>AJ88+1</f>
        <v>52</v>
      </c>
      <c r="AK89" s="584">
        <v>53</v>
      </c>
      <c r="AL89" s="598">
        <f>IF(AJ89=2017,AL88*0.99,IF(AJ89=2018,AL88*0.99,IF(AJ89=2019,AL88*0.99,AL88*(1+$AO$23))))</f>
        <v>0</v>
      </c>
      <c r="AM89" s="598">
        <f>ROUND(-AL89*$AO$19,0)</f>
        <v>0</v>
      </c>
      <c r="AN89" s="598">
        <f>IF(AK89&gt;$AO$27,0,ROUND(AN88*(1+$AO$24),0))</f>
        <v>0</v>
      </c>
      <c r="AO89" s="598">
        <f>IF(AK89&gt;$AO$27,0,ROUND(AO88*(1+$AO$25),0))</f>
        <v>0</v>
      </c>
      <c r="AP89" s="598">
        <f>AP88*1.03</f>
        <v>0</v>
      </c>
      <c r="AQ89" s="598">
        <f>SUM(AL89:AP89)</f>
        <v>0</v>
      </c>
      <c r="AR89" s="598"/>
      <c r="AS89" s="598">
        <f>SUM(AQ89:AR89)*0.5*0.9</f>
        <v>0</v>
      </c>
      <c r="AT89" s="599">
        <f>AS89*(1/((1+$AO$28)^(AK89-0.5)))</f>
        <v>0</v>
      </c>
      <c r="AU89" s="310">
        <f>AT89</f>
        <v>0</v>
      </c>
      <c r="AV89" s="287"/>
      <c r="AW89" s="116"/>
      <c r="AX89" s="56"/>
      <c r="AY89" s="113">
        <f>AL89</f>
        <v>0</v>
      </c>
      <c r="AZ89" s="113">
        <f>AM89</f>
        <v>0</v>
      </c>
      <c r="BA89" s="113">
        <f>AN89</f>
        <v>0</v>
      </c>
      <c r="BB89" s="113">
        <f>AO89</f>
        <v>0</v>
      </c>
      <c r="BC89" s="113">
        <f>AP89</f>
        <v>0</v>
      </c>
    </row>
    <row r="90" s="58" customFormat="1" ht="15" customHeight="1" hidden="1">
      <c r="Z90" t="s" s="88">
        <v>261</v>
      </c>
      <c r="AA90" t="s" s="533">
        <v>771</v>
      </c>
      <c r="AC90" s="534">
        <v>316.4</v>
      </c>
      <c r="AD90" t="s" s="535">
        <v>67</v>
      </c>
      <c r="AF90" t="s" s="88">
        <v>261</v>
      </c>
      <c r="AJ90" s="152">
        <f>AJ89+1</f>
        <v>53</v>
      </c>
      <c r="AK90" s="584">
        <v>54</v>
      </c>
      <c r="AL90" s="598">
        <f>IF(AJ90=2017,AL89*0.99,IF(AJ90=2018,AL89*0.99,IF(AJ90=2019,AL89*0.99,AL89*(1+$AO$23))))</f>
        <v>0</v>
      </c>
      <c r="AM90" s="598">
        <f>ROUND(-AL90*$AO$19,0)</f>
        <v>0</v>
      </c>
      <c r="AN90" s="598">
        <f>IF(AK90&gt;$AO$27,0,ROUND(AN89*(1+$AO$24),0))</f>
        <v>0</v>
      </c>
      <c r="AO90" s="598">
        <f>IF(AK90&gt;$AO$27,0,ROUND(AO89*(1+$AO$25),0))</f>
        <v>0</v>
      </c>
      <c r="AP90" s="598">
        <f>AP89*1.03</f>
        <v>0</v>
      </c>
      <c r="AQ90" s="598">
        <f>SUM(AL90:AP90)</f>
        <v>0</v>
      </c>
      <c r="AR90" s="598"/>
      <c r="AS90" s="598">
        <f>SUM(AQ90:AR90)*0.5*0.9</f>
        <v>0</v>
      </c>
      <c r="AT90" s="599">
        <f>AS90*(1/((1+$AO$28)^(AK90-0.5)))</f>
        <v>0</v>
      </c>
      <c r="AU90" s="310">
        <f>AT90</f>
        <v>0</v>
      </c>
      <c r="AV90" s="287"/>
      <c r="AW90" s="116"/>
      <c r="AX90" s="56"/>
      <c r="AY90" s="113">
        <f>AL90</f>
        <v>0</v>
      </c>
      <c r="AZ90" s="113">
        <f>AM90</f>
        <v>0</v>
      </c>
      <c r="BA90" s="113">
        <f>AN90</f>
        <v>0</v>
      </c>
      <c r="BB90" s="113">
        <f>AO90</f>
        <v>0</v>
      </c>
      <c r="BC90" s="113">
        <f>AP90</f>
        <v>0</v>
      </c>
    </row>
    <row r="91" s="58" customFormat="1" ht="15" customHeight="1" hidden="1">
      <c r="Z91" t="s" s="88">
        <v>262</v>
      </c>
      <c r="AA91" t="s" s="533">
        <v>870</v>
      </c>
      <c r="AC91" s="534">
        <v>328.5</v>
      </c>
      <c r="AD91" t="s" s="535">
        <v>59</v>
      </c>
      <c r="AF91" t="s" s="88">
        <v>262</v>
      </c>
      <c r="AJ91" s="152">
        <f>AJ90+1</f>
        <v>54</v>
      </c>
      <c r="AK91" s="584">
        <v>55</v>
      </c>
      <c r="AL91" s="598">
        <f>IF(AJ91=2017,AL90*0.99,IF(AJ91=2018,AL90*0.99,IF(AJ91=2019,AL90*0.99,AL90*(1+$AO$23))))</f>
        <v>0</v>
      </c>
      <c r="AM91" s="598">
        <f>ROUND(-AL91*$AO$19,0)</f>
        <v>0</v>
      </c>
      <c r="AN91" s="598">
        <f>IF(AK91&gt;$AO$27,0,ROUND(AN90*(1+$AO$24),0))</f>
        <v>0</v>
      </c>
      <c r="AO91" s="598">
        <f>IF(AK91&gt;$AO$27,0,ROUND(AO90*(1+$AO$25),0))</f>
        <v>0</v>
      </c>
      <c r="AP91" s="598">
        <f>AP90*1.03</f>
        <v>0</v>
      </c>
      <c r="AQ91" s="598">
        <f>SUM(AL91:AP91)</f>
        <v>0</v>
      </c>
      <c r="AR91" s="598"/>
      <c r="AS91" s="598">
        <f>SUM(AQ91:AR91)*0.5*0.9</f>
        <v>0</v>
      </c>
      <c r="AT91" s="599">
        <f>AS91*(1/((1+$AO$28)^(AK91-0.5)))</f>
        <v>0</v>
      </c>
      <c r="AU91" s="310">
        <f>AT91</f>
        <v>0</v>
      </c>
      <c r="AV91" s="287"/>
      <c r="AW91" s="116"/>
      <c r="AX91" s="56"/>
      <c r="AY91" s="113">
        <f>AL91</f>
        <v>0</v>
      </c>
      <c r="AZ91" s="113">
        <f>AM91</f>
        <v>0</v>
      </c>
      <c r="BA91" s="113">
        <f>AN91</f>
        <v>0</v>
      </c>
      <c r="BB91" s="113">
        <f>AO91</f>
        <v>0</v>
      </c>
      <c r="BC91" s="113">
        <f>AP91</f>
        <v>0</v>
      </c>
    </row>
    <row r="92" s="58" customFormat="1" ht="15" customHeight="1" hidden="1">
      <c r="Z92" t="s" s="88">
        <v>263</v>
      </c>
      <c r="AA92" t="s" s="533">
        <v>765</v>
      </c>
      <c r="AC92" s="534">
        <v>321.1</v>
      </c>
      <c r="AD92" t="s" s="535">
        <v>59</v>
      </c>
      <c r="AF92" t="s" s="88">
        <v>263</v>
      </c>
      <c r="AJ92" s="152">
        <f>AJ91+1</f>
        <v>55</v>
      </c>
      <c r="AK92" s="584">
        <v>56</v>
      </c>
      <c r="AL92" s="598">
        <f>IF(AJ92=2017,AL91*0.99,IF(AJ92=2018,AL91*0.99,IF(AJ92=2019,AL91*0.99,AL91*(1+$AO$23))))</f>
        <v>0</v>
      </c>
      <c r="AM92" s="598">
        <f>ROUND(-AL92*$AO$19,0)</f>
        <v>0</v>
      </c>
      <c r="AN92" s="598">
        <f>IF(AK92&gt;$AO$27,0,ROUND(AN91*(1+$AO$24),0))</f>
        <v>0</v>
      </c>
      <c r="AO92" s="598">
        <f>IF(AK92&gt;$AO$27,0,ROUND(AO91*(1+$AO$25),0))</f>
        <v>0</v>
      </c>
      <c r="AP92" s="598">
        <f>AP91*1.03</f>
        <v>0</v>
      </c>
      <c r="AQ92" s="598">
        <f>SUM(AL92:AP92)</f>
        <v>0</v>
      </c>
      <c r="AR92" s="598"/>
      <c r="AS92" s="598">
        <f>SUM(AQ92:AR92)*0.5*0.9</f>
        <v>0</v>
      </c>
      <c r="AT92" s="599">
        <f>AS92*(1/((1+$AO$28)^(AK92-0.5)))</f>
        <v>0</v>
      </c>
      <c r="AU92" s="310">
        <f>AT92</f>
        <v>0</v>
      </c>
      <c r="AV92" s="287"/>
      <c r="AW92" s="116"/>
      <c r="AX92" s="56"/>
      <c r="AY92" s="113">
        <f>AL92</f>
        <v>0</v>
      </c>
      <c r="AZ92" s="113">
        <f>AM92</f>
        <v>0</v>
      </c>
      <c r="BA92" s="113">
        <f>AN92</f>
        <v>0</v>
      </c>
      <c r="BB92" s="113">
        <f>AO92</f>
        <v>0</v>
      </c>
      <c r="BC92" s="113">
        <f>AP92</f>
        <v>0</v>
      </c>
    </row>
    <row r="93" s="58" customFormat="1" ht="15" customHeight="1" hidden="1">
      <c r="Z93" t="s" s="88">
        <v>264</v>
      </c>
      <c r="AA93" t="s" s="533">
        <v>765</v>
      </c>
      <c r="AC93" s="534">
        <v>321.1</v>
      </c>
      <c r="AD93" t="s" s="535">
        <v>59</v>
      </c>
      <c r="AF93" t="s" s="88">
        <v>264</v>
      </c>
      <c r="AJ93" s="152">
        <f>AJ92+1</f>
        <v>56</v>
      </c>
      <c r="AK93" s="584">
        <v>57</v>
      </c>
      <c r="AL93" s="598">
        <f>IF(AJ93=2017,AL92*0.99,IF(AJ93=2018,AL92*0.99,IF(AJ93=2019,AL92*0.99,AL92*(1+$AO$23))))</f>
        <v>0</v>
      </c>
      <c r="AM93" s="598">
        <f>ROUND(-AL93*$AO$19,0)</f>
        <v>0</v>
      </c>
      <c r="AN93" s="598">
        <f>IF(AK93&gt;$AO$27,0,ROUND(AN92*(1+$AO$24),0))</f>
        <v>0</v>
      </c>
      <c r="AO93" s="598">
        <f>IF(AK93&gt;$AO$27,0,ROUND(AO92*(1+$AO$25),0))</f>
        <v>0</v>
      </c>
      <c r="AP93" s="598">
        <f>AP92*1.03</f>
        <v>0</v>
      </c>
      <c r="AQ93" s="598">
        <f>SUM(AL93:AP93)</f>
        <v>0</v>
      </c>
      <c r="AR93" s="598"/>
      <c r="AS93" s="598">
        <f>SUM(AQ93:AR93)*0.5*0.9</f>
        <v>0</v>
      </c>
      <c r="AT93" s="599">
        <f>AS93*(1/((1+$AO$28)^(AK93-0.5)))</f>
        <v>0</v>
      </c>
      <c r="AU93" s="310">
        <f>AT93</f>
        <v>0</v>
      </c>
      <c r="AV93" s="287"/>
      <c r="AW93" s="116"/>
      <c r="AX93" s="56"/>
      <c r="AY93" s="113">
        <f>AL93</f>
        <v>0</v>
      </c>
      <c r="AZ93" s="113">
        <f>AM93</f>
        <v>0</v>
      </c>
      <c r="BA93" s="113">
        <f>AN93</f>
        <v>0</v>
      </c>
      <c r="BB93" s="113">
        <f>AO93</f>
        <v>0</v>
      </c>
      <c r="BC93" s="113">
        <f>AP93</f>
        <v>0</v>
      </c>
    </row>
    <row r="94" s="58" customFormat="1" ht="15" customHeight="1" hidden="1">
      <c r="Z94" t="s" s="88">
        <v>265</v>
      </c>
      <c r="AA94" t="s" s="533">
        <v>869</v>
      </c>
      <c r="AC94" s="534">
        <v>289.7</v>
      </c>
      <c r="AD94" t="s" s="535">
        <v>63</v>
      </c>
      <c r="AF94" t="s" s="88">
        <v>265</v>
      </c>
      <c r="AJ94" s="152">
        <f>AJ93+1</f>
        <v>57</v>
      </c>
      <c r="AK94" s="584">
        <v>58</v>
      </c>
      <c r="AL94" s="598">
        <f>IF(AJ94=2017,AL93*0.99,IF(AJ94=2018,AL93*0.99,IF(AJ94=2019,AL93*0.99,AL93*(1+$AO$23))))</f>
        <v>0</v>
      </c>
      <c r="AM94" s="598">
        <f>ROUND(-AL94*$AO$19,0)</f>
        <v>0</v>
      </c>
      <c r="AN94" s="598">
        <f>IF(AK94&gt;$AO$27,0,ROUND(AN93*(1+$AO$24),0))</f>
        <v>0</v>
      </c>
      <c r="AO94" s="598">
        <f>IF(AK94&gt;$AO$27,0,ROUND(AO93*(1+$AO$25),0))</f>
        <v>0</v>
      </c>
      <c r="AP94" s="598">
        <f>AP93*1.03</f>
        <v>0</v>
      </c>
      <c r="AQ94" s="598">
        <f>SUM(AL94:AP94)</f>
        <v>0</v>
      </c>
      <c r="AR94" s="598"/>
      <c r="AS94" s="598">
        <f>SUM(AQ94:AR94)*0.5*0.9</f>
        <v>0</v>
      </c>
      <c r="AT94" s="599">
        <f>AS94*(1/((1+$AO$28)^(AK94-0.5)))</f>
        <v>0</v>
      </c>
      <c r="AU94" s="310">
        <f>AT94</f>
        <v>0</v>
      </c>
      <c r="AV94" s="287"/>
      <c r="AW94" s="116"/>
      <c r="AX94" s="56"/>
      <c r="AY94" s="113">
        <f>AL94</f>
        <v>0</v>
      </c>
      <c r="AZ94" s="113">
        <f>AM94</f>
        <v>0</v>
      </c>
      <c r="BA94" s="113">
        <f>AN94</f>
        <v>0</v>
      </c>
      <c r="BB94" s="113">
        <f>AO94</f>
        <v>0</v>
      </c>
      <c r="BC94" s="113">
        <f>AP94</f>
        <v>0</v>
      </c>
    </row>
    <row r="95" s="58" customFormat="1" ht="15" customHeight="1" hidden="1">
      <c r="Z95" t="s" s="88">
        <v>266</v>
      </c>
      <c r="AA95" t="s" s="533">
        <v>790</v>
      </c>
      <c r="AC95" s="534">
        <v>299.1</v>
      </c>
      <c r="AD95" t="s" s="535">
        <v>791</v>
      </c>
      <c r="AF95" t="s" s="88">
        <v>266</v>
      </c>
      <c r="AJ95" s="152">
        <f>AJ94+1</f>
        <v>58</v>
      </c>
      <c r="AK95" s="584">
        <v>59</v>
      </c>
      <c r="AL95" s="598">
        <f>IF(AJ95=2017,AL94*0.99,IF(AJ95=2018,AL94*0.99,IF(AJ95=2019,AL94*0.99,AL94*(1+$AO$23))))</f>
        <v>0</v>
      </c>
      <c r="AM95" s="598">
        <f>ROUND(-AL95*$AO$19,0)</f>
        <v>0</v>
      </c>
      <c r="AN95" s="598">
        <f>IF(AK95&gt;$AO$27,0,ROUND(AN94*(1+$AO$24),0))</f>
        <v>0</v>
      </c>
      <c r="AO95" s="598">
        <f>IF(AK95&gt;$AO$27,0,ROUND(AO94*(1+$AO$25),0))</f>
        <v>0</v>
      </c>
      <c r="AP95" s="598">
        <f>AP94*1.03</f>
        <v>0</v>
      </c>
      <c r="AQ95" s="598">
        <f>SUM(AL95:AP95)</f>
        <v>0</v>
      </c>
      <c r="AR95" s="598"/>
      <c r="AS95" s="598">
        <f>SUM(AQ95:AR95)*0.5*0.9</f>
        <v>0</v>
      </c>
      <c r="AT95" s="599">
        <f>AS95*(1/((1+$AO$28)^(AK95-0.5)))</f>
        <v>0</v>
      </c>
      <c r="AU95" s="310">
        <f>AT95</f>
        <v>0</v>
      </c>
      <c r="AV95" s="287"/>
      <c r="AW95" s="116"/>
      <c r="AX95" s="56"/>
      <c r="AY95" s="113">
        <f>AL95</f>
        <v>0</v>
      </c>
      <c r="AZ95" s="113">
        <f>AM95</f>
        <v>0</v>
      </c>
      <c r="BA95" s="113">
        <f>AN95</f>
        <v>0</v>
      </c>
      <c r="BB95" s="113">
        <f>AO95</f>
        <v>0</v>
      </c>
      <c r="BC95" s="113">
        <f>AP95</f>
        <v>0</v>
      </c>
    </row>
    <row r="96" s="58" customFormat="1" ht="15" customHeight="1" hidden="1">
      <c r="Z96" t="s" s="88">
        <v>267</v>
      </c>
      <c r="AA96" t="s" s="533">
        <v>771</v>
      </c>
      <c r="AC96" s="534">
        <v>316.4</v>
      </c>
      <c r="AD96" t="s" s="535">
        <v>67</v>
      </c>
      <c r="AF96" t="s" s="88">
        <v>267</v>
      </c>
      <c r="AJ96" s="152">
        <f>AJ95+1</f>
        <v>59</v>
      </c>
      <c r="AK96" s="584">
        <v>60</v>
      </c>
      <c r="AL96" s="603">
        <f>IF(AJ96=2017,AL95*0.99,IF(AJ96=2018,AL95*0.99,IF(AJ96=2019,AL95*0.99,AL95*(1+$AO$23))))</f>
        <v>0</v>
      </c>
      <c r="AM96" s="603">
        <f>ROUND(-AL96*$AO$19,0)</f>
        <v>0</v>
      </c>
      <c r="AN96" s="603">
        <f>IF(AK96&gt;$AO$27,0,ROUND(AN95*(1+$AO$24),0))</f>
        <v>0</v>
      </c>
      <c r="AO96" s="603">
        <f>IF(AK96&gt;$AO$27,0,ROUND(AO95*(1+$AO$25),0))</f>
        <v>0</v>
      </c>
      <c r="AP96" s="603">
        <f>AP95*1.03</f>
        <v>0</v>
      </c>
      <c r="AQ96" s="603">
        <f>SUM(AL96:AP96)</f>
        <v>0</v>
      </c>
      <c r="AR96" s="603"/>
      <c r="AS96" s="603">
        <f>SUM(AQ96:AR96)*0.5*0.9</f>
        <v>0</v>
      </c>
      <c r="AT96" s="604">
        <f>AS96*(1/((1+$AO$28)^(AK96-0.5)))</f>
        <v>0</v>
      </c>
      <c r="AU96" s="310">
        <f>AT96</f>
        <v>0</v>
      </c>
      <c r="AV96" s="310">
        <f>SUM(AU67:AU96)</f>
        <v>0</v>
      </c>
      <c r="AW96" t="s" s="89">
        <v>872</v>
      </c>
      <c r="AX96" s="56"/>
      <c r="AY96" s="113">
        <f>AL96</f>
        <v>0</v>
      </c>
      <c r="AZ96" s="113">
        <f>AM96</f>
        <v>0</v>
      </c>
      <c r="BA96" s="113">
        <f>AN96</f>
        <v>0</v>
      </c>
      <c r="BB96" s="113">
        <f>AO96</f>
        <v>0</v>
      </c>
      <c r="BC96" s="113">
        <f>AP96</f>
        <v>0</v>
      </c>
    </row>
    <row r="97" s="58" customFormat="1" ht="15" customHeight="1" hidden="1">
      <c r="Z97" t="s" s="88">
        <v>268</v>
      </c>
      <c r="AA97" t="s" s="533">
        <v>815</v>
      </c>
      <c r="AC97" s="534">
        <v>320.6</v>
      </c>
      <c r="AD97" t="s" s="535">
        <v>80</v>
      </c>
      <c r="AF97" t="s" s="88">
        <v>268</v>
      </c>
      <c r="AK97" s="584"/>
      <c r="AL97" s="605">
        <f>SUM(AL37:AL96)</f>
        <v>0</v>
      </c>
      <c r="AM97" s="605">
        <f>SUM(AM37:AM96)</f>
        <v>0</v>
      </c>
      <c r="AN97" s="605">
        <f>SUM(AN37:AN96)</f>
        <v>0</v>
      </c>
      <c r="AO97" s="605">
        <f>SUM(AO37:AO96)</f>
        <v>0</v>
      </c>
      <c r="AP97" s="605">
        <f>SUM(AP37:AP96)</f>
        <v>0</v>
      </c>
      <c r="AQ97" s="605">
        <f>SUM(AQ37:AQ96)</f>
        <v>0</v>
      </c>
      <c r="AR97" s="605">
        <f>SUM(AR37:AR96)</f>
        <v>0</v>
      </c>
      <c r="AS97" s="605">
        <f>SUM(AS37:AS96)</f>
        <v>0</v>
      </c>
      <c r="AT97" s="605">
        <f>SUM(AT37:AT96)</f>
        <v>0</v>
      </c>
    </row>
    <row r="98" s="58" customFormat="1" ht="15" customHeight="1" hidden="1">
      <c r="Z98" t="s" s="88">
        <v>271</v>
      </c>
      <c r="AA98" t="s" s="533">
        <v>869</v>
      </c>
      <c r="AC98" s="534">
        <v>289.7</v>
      </c>
      <c r="AD98" t="s" s="535">
        <v>63</v>
      </c>
      <c r="AF98" t="s" s="88">
        <v>271</v>
      </c>
      <c r="AK98" s="101"/>
      <c r="AL98" s="107"/>
      <c r="AM98" s="107"/>
      <c r="AN98" s="107"/>
      <c r="AO98" s="107"/>
      <c r="AP98" s="107"/>
      <c r="AQ98" s="107"/>
      <c r="AR98" s="107"/>
      <c r="AS98" s="107"/>
      <c r="AT98" s="107"/>
    </row>
    <row r="99" s="58" customFormat="1" ht="15" customHeight="1" hidden="1">
      <c r="Z99" t="s" s="88">
        <v>272</v>
      </c>
      <c r="AA99" t="s" s="533">
        <v>781</v>
      </c>
      <c r="AC99" s="534">
        <v>354.1</v>
      </c>
      <c r="AD99" t="s" s="535">
        <v>782</v>
      </c>
      <c r="AF99" t="s" s="88">
        <v>272</v>
      </c>
    </row>
    <row r="100" s="58" customFormat="1" ht="15" customHeight="1" hidden="1">
      <c r="Z100" t="s" s="88">
        <v>273</v>
      </c>
      <c r="AA100" t="s" s="533">
        <v>869</v>
      </c>
      <c r="AC100" s="534">
        <v>289.7</v>
      </c>
      <c r="AD100" t="s" s="535">
        <v>63</v>
      </c>
      <c r="AF100" t="s" s="88">
        <v>273</v>
      </c>
    </row>
    <row r="101" s="58" customFormat="1" ht="15" customHeight="1" hidden="1">
      <c r="Z101" t="s" s="88">
        <v>275</v>
      </c>
      <c r="AA101" t="s" s="533">
        <v>860</v>
      </c>
      <c r="AC101" s="534">
        <v>330.1</v>
      </c>
      <c r="AD101" t="s" s="535">
        <v>778</v>
      </c>
      <c r="AF101" t="s" s="88">
        <v>275</v>
      </c>
    </row>
    <row r="102" s="58" customFormat="1" ht="15" customHeight="1" hidden="1">
      <c r="Z102" t="s" s="88">
        <v>276</v>
      </c>
      <c r="AA102" t="s" s="533">
        <v>873</v>
      </c>
      <c r="AC102" s="534">
        <v>278</v>
      </c>
      <c r="AD102" t="s" s="535">
        <v>71</v>
      </c>
      <c r="AF102" t="s" s="88">
        <v>276</v>
      </c>
      <c r="AP102" t="s" s="149">
        <v>821</v>
      </c>
      <c r="AR102" t="s" s="149">
        <v>874</v>
      </c>
    </row>
    <row r="103" s="58" customFormat="1" ht="15" customHeight="1" hidden="1">
      <c r="Z103" t="s" s="88">
        <v>277</v>
      </c>
      <c r="AA103" t="s" s="533">
        <v>838</v>
      </c>
      <c r="AC103" s="534">
        <v>293.9</v>
      </c>
      <c r="AD103" t="s" s="535">
        <v>71</v>
      </c>
      <c r="AF103" t="s" s="88">
        <v>277</v>
      </c>
      <c r="AP103" s="598">
        <f>-AO17*AO22</f>
        <v>0</v>
      </c>
      <c r="AR103" s="101">
        <f>I21</f>
        <v>0</v>
      </c>
    </row>
    <row r="104" s="58" customFormat="1" ht="15" customHeight="1" hidden="1">
      <c r="Z104" t="s" s="88">
        <v>279</v>
      </c>
      <c r="AA104" t="s" s="533">
        <v>799</v>
      </c>
      <c r="AC104" s="534">
        <v>328.7</v>
      </c>
      <c r="AD104" t="s" s="535">
        <v>67</v>
      </c>
      <c r="AF104" t="s" s="88">
        <v>279</v>
      </c>
      <c r="AP104" s="598">
        <f>IF(AK38&gt;$AO$27,0,ROUND(AP103*(1+$AO$26),0))</f>
        <v>0</v>
      </c>
      <c r="AR104" s="101">
        <f>AR103*1.03</f>
        <v>0</v>
      </c>
    </row>
    <row r="105" s="58" customFormat="1" ht="15" customHeight="1" hidden="1">
      <c r="Z105" t="s" s="88">
        <v>280</v>
      </c>
      <c r="AA105" t="s" s="533">
        <v>858</v>
      </c>
      <c r="AC105" s="534">
        <v>343.7</v>
      </c>
      <c r="AD105" t="s" s="535">
        <v>778</v>
      </c>
      <c r="AF105" t="s" s="88">
        <v>280</v>
      </c>
      <c r="AP105" s="598">
        <f>IF(AK39&gt;$AO$27,0,ROUND(AP104*(1+$AO$26),0))</f>
        <v>0</v>
      </c>
      <c r="AR105" s="101">
        <f>AR104*1.03</f>
        <v>0</v>
      </c>
    </row>
    <row r="106" s="58" customFormat="1" ht="15" customHeight="1" hidden="1">
      <c r="Z106" t="s" s="88">
        <v>281</v>
      </c>
      <c r="AA106" t="s" s="533">
        <v>836</v>
      </c>
      <c r="AC106" s="534">
        <v>286.7</v>
      </c>
      <c r="AD106" t="s" s="535">
        <v>59</v>
      </c>
      <c r="AF106" t="s" s="88">
        <v>281</v>
      </c>
      <c r="AP106" s="598">
        <f>IF(AK40&gt;$AO$27,0,ROUND(AP105*(1+$AO$26),0))</f>
        <v>0</v>
      </c>
      <c r="AR106" s="101">
        <f>AR105*1.03</f>
        <v>0</v>
      </c>
    </row>
    <row r="107" s="58" customFormat="1" ht="15" customHeight="1" hidden="1">
      <c r="Z107" t="s" s="88">
        <v>283</v>
      </c>
      <c r="AA107" t="s" s="533">
        <v>870</v>
      </c>
      <c r="AC107" s="534">
        <v>328.5</v>
      </c>
      <c r="AD107" t="s" s="535">
        <v>59</v>
      </c>
      <c r="AF107" t="s" s="88">
        <v>283</v>
      </c>
      <c r="AP107" s="598">
        <f>IF(AK41&gt;$AO$27,0,ROUND(AP106*(1+$AO$26),0))</f>
        <v>0</v>
      </c>
      <c r="AR107" s="101">
        <f>AR106*1.03</f>
        <v>0</v>
      </c>
    </row>
    <row r="108" s="58" customFormat="1" ht="15" customHeight="1" hidden="1">
      <c r="Z108" t="s" s="88">
        <v>285</v>
      </c>
      <c r="AA108" t="s" s="533">
        <v>875</v>
      </c>
      <c r="AC108" s="534">
        <v>318.4</v>
      </c>
      <c r="AD108" t="s" s="535">
        <v>791</v>
      </c>
      <c r="AF108" t="s" s="88">
        <v>285</v>
      </c>
      <c r="AP108" s="598">
        <f>IF(AK42&gt;$AO$27,0,ROUND(AP107*(1+$AO$26),0))</f>
        <v>0</v>
      </c>
      <c r="AR108" s="101">
        <f>AR107*1.03</f>
        <v>0</v>
      </c>
    </row>
    <row r="109" s="58" customFormat="1" ht="15" customHeight="1" hidden="1">
      <c r="Z109" t="s" s="88">
        <v>286</v>
      </c>
      <c r="AA109" t="s" s="533">
        <v>863</v>
      </c>
      <c r="AC109" s="534">
        <v>296.2</v>
      </c>
      <c r="AD109" t="s" s="535">
        <v>80</v>
      </c>
      <c r="AF109" t="s" s="88">
        <v>286</v>
      </c>
      <c r="AP109" s="598">
        <f>IF(AK43&gt;$AO$27,0,ROUND(AP108*(1+$AO$26),0))</f>
        <v>0</v>
      </c>
      <c r="AR109" s="101">
        <f>AR108*1.03</f>
        <v>0</v>
      </c>
    </row>
    <row r="110" s="58" customFormat="1" ht="15" customHeight="1" hidden="1">
      <c r="Z110" t="s" s="88">
        <v>287</v>
      </c>
      <c r="AA110" t="s" s="533">
        <v>851</v>
      </c>
      <c r="AC110" s="534">
        <v>281.5</v>
      </c>
      <c r="AD110" t="s" s="535">
        <v>67</v>
      </c>
      <c r="AF110" t="s" s="88">
        <v>287</v>
      </c>
      <c r="AP110" s="598">
        <f>IF(AK44&gt;$AO$27,0,ROUND(AP109*(1+$AO$26),0))</f>
        <v>0</v>
      </c>
      <c r="AR110" s="101">
        <f>AR109*1.03</f>
        <v>0</v>
      </c>
    </row>
    <row r="111" s="58" customFormat="1" ht="15" customHeight="1" hidden="1">
      <c r="Z111" t="s" s="88">
        <v>288</v>
      </c>
      <c r="AA111" t="s" s="533">
        <v>799</v>
      </c>
      <c r="AC111" s="534">
        <v>328.7</v>
      </c>
      <c r="AD111" t="s" s="535">
        <v>67</v>
      </c>
      <c r="AF111" t="s" s="88">
        <v>288</v>
      </c>
      <c r="AP111" s="598">
        <f>IF(AK45&gt;$AO$27,0,ROUND(AP110*(1+$AO$26),0))</f>
        <v>0</v>
      </c>
      <c r="AR111" s="101">
        <f>AR110*1.03</f>
        <v>0</v>
      </c>
    </row>
    <row r="112" s="58" customFormat="1" ht="15" customHeight="1" hidden="1">
      <c r="Z112" t="s" s="88">
        <v>289</v>
      </c>
      <c r="AA112" t="s" s="533">
        <v>761</v>
      </c>
      <c r="AC112" s="534">
        <v>323.7</v>
      </c>
      <c r="AD112" t="s" s="535">
        <v>65</v>
      </c>
      <c r="AF112" t="s" s="88">
        <v>289</v>
      </c>
      <c r="AP112" s="598">
        <f>IF(AK46&gt;$AO$27,0,ROUND(AP111*(1+$AO$26),0))</f>
        <v>0</v>
      </c>
      <c r="AR112" s="101">
        <f>AR111*1.03</f>
        <v>0</v>
      </c>
    </row>
    <row r="113" s="58" customFormat="1" ht="15" customHeight="1" hidden="1">
      <c r="Z113" t="s" s="88">
        <v>290</v>
      </c>
      <c r="AA113" t="s" s="533">
        <v>868</v>
      </c>
      <c r="AC113" s="534">
        <v>322</v>
      </c>
      <c r="AD113" t="s" s="535">
        <v>65</v>
      </c>
      <c r="AF113" t="s" s="88">
        <v>290</v>
      </c>
      <c r="AP113" s="598">
        <f>IF(AK47&gt;$AO$27,0,ROUND(AP112*(1+$AO$26),0))</f>
        <v>0</v>
      </c>
      <c r="AR113" s="101">
        <f>AR112*1.03</f>
        <v>0</v>
      </c>
    </row>
    <row r="114" s="58" customFormat="1" ht="15" customHeight="1" hidden="1">
      <c r="Z114" t="s" s="88">
        <v>291</v>
      </c>
      <c r="AA114" t="s" s="533">
        <v>876</v>
      </c>
      <c r="AC114" s="534">
        <v>333.2</v>
      </c>
      <c r="AD114" t="s" s="535">
        <v>67</v>
      </c>
      <c r="AF114" t="s" s="88">
        <v>291</v>
      </c>
      <c r="AP114" s="598">
        <f>IF(AK48&gt;$AO$27,0,ROUND(AP113*(1+$AO$26),0))</f>
        <v>0</v>
      </c>
      <c r="AR114" s="101">
        <f>AR113*1.03</f>
        <v>0</v>
      </c>
    </row>
    <row r="115" s="58" customFormat="1" ht="15" customHeight="1" hidden="1">
      <c r="Z115" t="s" s="88">
        <v>292</v>
      </c>
      <c r="AA115" t="s" s="533">
        <v>781</v>
      </c>
      <c r="AC115" s="534">
        <v>354.1</v>
      </c>
      <c r="AD115" t="s" s="535">
        <v>782</v>
      </c>
      <c r="AF115" t="s" s="88">
        <v>292</v>
      </c>
      <c r="AP115" s="598">
        <f>IF(AK49&gt;$AO$27,0,ROUND(AP114*(1+$AO$26),0))</f>
        <v>0</v>
      </c>
      <c r="AR115" s="101">
        <f>AR114*1.03</f>
        <v>0</v>
      </c>
    </row>
    <row r="116" s="58" customFormat="1" ht="15" customHeight="1" hidden="1">
      <c r="Z116" t="s" s="88">
        <v>293</v>
      </c>
      <c r="AA116" t="s" s="533">
        <v>796</v>
      </c>
      <c r="AC116" s="534">
        <v>325.9</v>
      </c>
      <c r="AD116" t="s" s="535">
        <v>778</v>
      </c>
      <c r="AF116" t="s" s="88">
        <v>293</v>
      </c>
      <c r="AP116" s="598">
        <f>IF(AK50&gt;$AO$27,0,ROUND(AP115*(1+$AO$26),0))</f>
        <v>0</v>
      </c>
      <c r="AR116" s="101">
        <f>AR115*1.03</f>
        <v>0</v>
      </c>
    </row>
    <row r="117" s="58" customFormat="1" ht="15" customHeight="1" hidden="1">
      <c r="Z117" t="s" s="88">
        <v>294</v>
      </c>
      <c r="AA117" t="s" s="533">
        <v>876</v>
      </c>
      <c r="AC117" s="534">
        <v>333.2</v>
      </c>
      <c r="AD117" t="s" s="535">
        <v>67</v>
      </c>
      <c r="AF117" t="s" s="88">
        <v>294</v>
      </c>
      <c r="AP117" s="598">
        <f>IF(AK51&gt;$AO$27,0,ROUND(AP116*(1+$AO$26),0))</f>
        <v>0</v>
      </c>
      <c r="AR117" s="101">
        <f>AR116*1.03</f>
        <v>0</v>
      </c>
    </row>
    <row r="118" s="58" customFormat="1" ht="15" customHeight="1" hidden="1">
      <c r="Z118" t="s" s="88">
        <v>295</v>
      </c>
      <c r="AA118" t="s" s="533">
        <v>765</v>
      </c>
      <c r="AC118" s="534">
        <v>321.1</v>
      </c>
      <c r="AD118" t="s" s="535">
        <v>59</v>
      </c>
      <c r="AF118" t="s" s="88">
        <v>295</v>
      </c>
      <c r="AP118" s="598">
        <f>IF(AK52&gt;$AO$27,0,ROUND(AP117*(1+$AO$26),0))</f>
        <v>0</v>
      </c>
      <c r="AR118" s="101">
        <f>AR117*1.03</f>
        <v>0</v>
      </c>
    </row>
    <row r="119" s="58" customFormat="1" ht="15" customHeight="1" hidden="1">
      <c r="Z119" t="s" s="88">
        <v>296</v>
      </c>
      <c r="AA119" t="s" s="533">
        <v>873</v>
      </c>
      <c r="AC119" s="534">
        <v>278</v>
      </c>
      <c r="AD119" t="s" s="535">
        <v>71</v>
      </c>
      <c r="AF119" t="s" s="88">
        <v>296</v>
      </c>
      <c r="AP119" s="598">
        <f>IF(AK53&gt;$AO$27,0,ROUND(AP118*(1+$AO$26),0))</f>
        <v>0</v>
      </c>
      <c r="AR119" s="101">
        <f>AR118*1.03</f>
        <v>0</v>
      </c>
    </row>
    <row r="120" s="58" customFormat="1" ht="15" customHeight="1" hidden="1">
      <c r="Z120" t="s" s="88">
        <v>298</v>
      </c>
      <c r="AA120" t="s" s="533">
        <v>799</v>
      </c>
      <c r="AC120" s="534">
        <v>328.7</v>
      </c>
      <c r="AD120" t="s" s="535">
        <v>67</v>
      </c>
      <c r="AF120" t="s" s="88">
        <v>298</v>
      </c>
      <c r="AP120" s="598">
        <f>IF(AK54&gt;$AO$27,0,ROUND(AP119*(1+$AO$26),0))</f>
        <v>0</v>
      </c>
      <c r="AR120" s="101">
        <f>AR119*1.03</f>
        <v>0</v>
      </c>
    </row>
    <row r="121" s="58" customFormat="1" ht="15" customHeight="1" hidden="1">
      <c r="Z121" t="s" s="88">
        <v>299</v>
      </c>
      <c r="AA121" t="s" s="533">
        <v>860</v>
      </c>
      <c r="AC121" s="534">
        <v>330.1</v>
      </c>
      <c r="AD121" t="s" s="535">
        <v>778</v>
      </c>
      <c r="AF121" t="s" s="88">
        <v>299</v>
      </c>
      <c r="AP121" s="598">
        <f>IF(AK55&gt;$AO$27,0,ROUND(AP120*(1+$AO$26),0))</f>
        <v>0</v>
      </c>
      <c r="AR121" s="101">
        <f>AR120*1.03</f>
        <v>0</v>
      </c>
    </row>
    <row r="122" s="58" customFormat="1" ht="15" customHeight="1" hidden="1">
      <c r="Z122" t="s" s="88">
        <v>301</v>
      </c>
      <c r="AA122" t="s" s="533">
        <v>777</v>
      </c>
      <c r="AC122" s="534">
        <v>304.3</v>
      </c>
      <c r="AD122" t="s" s="535">
        <v>778</v>
      </c>
      <c r="AF122" t="s" s="88">
        <v>301</v>
      </c>
      <c r="AP122" s="598">
        <f>IF(AK56&gt;$AO$27,0,ROUND(AP121*(1+$AO$26),0))</f>
        <v>0</v>
      </c>
      <c r="AR122" s="101">
        <f>AR121*1.03</f>
        <v>0</v>
      </c>
    </row>
    <row r="123" s="58" customFormat="1" ht="15" customHeight="1" hidden="1">
      <c r="Z123" t="s" s="88">
        <v>302</v>
      </c>
      <c r="AA123" t="s" s="533">
        <v>866</v>
      </c>
      <c r="AC123" s="534">
        <v>308</v>
      </c>
      <c r="AD123" t="s" s="535">
        <v>71</v>
      </c>
      <c r="AF123" t="s" s="88">
        <v>302</v>
      </c>
      <c r="AP123" s="598">
        <f>IF(AK57&gt;$AO$27,0,ROUND(AP122*(1+$AO$26),0))</f>
        <v>0</v>
      </c>
      <c r="AR123" s="101">
        <f>AR122*1.03</f>
        <v>0</v>
      </c>
    </row>
    <row r="124" s="58" customFormat="1" ht="15" customHeight="1" hidden="1">
      <c r="Z124" t="s" s="88">
        <v>303</v>
      </c>
      <c r="AA124" t="s" s="533">
        <v>822</v>
      </c>
      <c r="AC124" s="534">
        <v>302.7</v>
      </c>
      <c r="AD124" t="s" s="535">
        <v>65</v>
      </c>
      <c r="AF124" t="s" s="88">
        <v>303</v>
      </c>
      <c r="AP124" s="598">
        <f>IF(AK58&gt;$AO$27,0,ROUND(AP123*(1+$AO$26),0))</f>
        <v>0</v>
      </c>
      <c r="AR124" s="101">
        <f>AR123*1.03</f>
        <v>0</v>
      </c>
    </row>
    <row r="125" s="58" customFormat="1" ht="15" customHeight="1" hidden="1">
      <c r="Z125" t="s" s="88">
        <v>304</v>
      </c>
      <c r="AA125" t="s" s="533">
        <v>877</v>
      </c>
      <c r="AC125" s="534">
        <v>307.9</v>
      </c>
      <c r="AD125" t="s" s="535">
        <v>63</v>
      </c>
      <c r="AF125" t="s" s="88">
        <v>304</v>
      </c>
      <c r="AP125" s="598">
        <f>IF(AK59&gt;$AO$27,0,ROUND(AP124*(1+$AO$26),0))</f>
        <v>0</v>
      </c>
      <c r="AR125" s="101">
        <f>AR124*1.03</f>
        <v>0</v>
      </c>
    </row>
    <row r="126" s="58" customFormat="1" ht="15" customHeight="1" hidden="1">
      <c r="Z126" t="s" s="88">
        <v>305</v>
      </c>
      <c r="AA126" t="s" s="533">
        <v>768</v>
      </c>
      <c r="AC126" s="534">
        <v>298</v>
      </c>
      <c r="AD126" t="s" s="535">
        <v>59</v>
      </c>
      <c r="AF126" t="s" s="88">
        <v>305</v>
      </c>
      <c r="AP126" s="598">
        <f>IF(AK60&gt;$AO$27,0,ROUND(AP125*(1+$AO$26),0))</f>
        <v>0</v>
      </c>
      <c r="AR126" s="101">
        <f>AR125*1.03</f>
        <v>0</v>
      </c>
    </row>
    <row r="127" s="58" customFormat="1" ht="15" customHeight="1" hidden="1">
      <c r="Z127" t="s" s="88">
        <v>307</v>
      </c>
      <c r="AA127" t="s" s="533">
        <v>866</v>
      </c>
      <c r="AC127" s="534">
        <v>308</v>
      </c>
      <c r="AD127" t="s" s="535">
        <v>71</v>
      </c>
      <c r="AF127" t="s" s="88">
        <v>307</v>
      </c>
      <c r="AP127" s="598">
        <f>IF(AK61&gt;$AO$27,0,ROUND(AP126*(1+$AO$26),0))</f>
        <v>0</v>
      </c>
      <c r="AR127" s="101">
        <f>AR126*1.03</f>
        <v>0</v>
      </c>
    </row>
    <row r="128" s="58" customFormat="1" ht="15" customHeight="1" hidden="1">
      <c r="Z128" t="s" s="88">
        <v>308</v>
      </c>
      <c r="AA128" t="s" s="533">
        <v>799</v>
      </c>
      <c r="AC128" s="534">
        <v>328.7</v>
      </c>
      <c r="AD128" t="s" s="535">
        <v>67</v>
      </c>
      <c r="AF128" t="s" s="88">
        <v>308</v>
      </c>
      <c r="AP128" s="598">
        <f>IF(AK62&gt;$AO$27,0,ROUND(AP127*(1+$AO$26),0))</f>
        <v>0</v>
      </c>
      <c r="AR128" s="101">
        <f>AR127*1.03</f>
        <v>0</v>
      </c>
    </row>
    <row r="129" s="58" customFormat="1" ht="15" customHeight="1" hidden="1">
      <c r="Z129" t="s" s="88">
        <v>309</v>
      </c>
      <c r="AA129" t="s" s="533">
        <v>771</v>
      </c>
      <c r="AC129" s="534">
        <v>316.4</v>
      </c>
      <c r="AD129" t="s" s="535">
        <v>67</v>
      </c>
      <c r="AF129" t="s" s="88">
        <v>309</v>
      </c>
      <c r="AP129" s="598">
        <f>IF(AK63&gt;$AO$27,0,ROUND(AP128*(1+$AO$26),0))</f>
        <v>0</v>
      </c>
      <c r="AR129" s="101">
        <f>AR128*1.03</f>
        <v>0</v>
      </c>
    </row>
    <row r="130" s="58" customFormat="1" ht="15" customHeight="1" hidden="1">
      <c r="Z130" t="s" s="88">
        <v>310</v>
      </c>
      <c r="AA130" t="s" s="533">
        <v>845</v>
      </c>
      <c r="AC130" s="534">
        <v>302.5</v>
      </c>
      <c r="AD130" t="s" s="535">
        <v>778</v>
      </c>
      <c r="AF130" t="s" s="88">
        <v>310</v>
      </c>
      <c r="AP130" s="598">
        <f>IF(AK64&gt;$AO$27,0,ROUND(AP129*(1+$AO$26),0))</f>
        <v>0</v>
      </c>
      <c r="AR130" s="101">
        <f>AR129*1.03</f>
        <v>0</v>
      </c>
    </row>
    <row r="131" s="58" customFormat="1" ht="15" customHeight="1" hidden="1">
      <c r="Z131" t="s" s="88">
        <v>311</v>
      </c>
      <c r="AA131" t="s" s="533">
        <v>861</v>
      </c>
      <c r="AC131" s="534">
        <v>354.1</v>
      </c>
      <c r="AD131" t="s" s="535">
        <v>862</v>
      </c>
      <c r="AF131" t="s" s="88">
        <v>311</v>
      </c>
      <c r="AP131" s="598">
        <f>IF(AK65&gt;$AO$27,0,ROUND(AP130*(1+$AO$26),0))</f>
        <v>0</v>
      </c>
      <c r="AR131" s="101">
        <f>AR130*1.03</f>
        <v>0</v>
      </c>
    </row>
    <row r="132" s="58" customFormat="1" ht="15" customHeight="1" hidden="1">
      <c r="Z132" t="s" s="88">
        <v>312</v>
      </c>
      <c r="AA132" t="s" s="533">
        <v>876</v>
      </c>
      <c r="AC132" s="534">
        <v>333.2</v>
      </c>
      <c r="AD132" t="s" s="535">
        <v>67</v>
      </c>
      <c r="AF132" t="s" s="88">
        <v>312</v>
      </c>
      <c r="AP132" s="598">
        <f>IF(AK66&gt;$AO$27,0,ROUND(AP131*(1+$AO$26),0))</f>
        <v>0</v>
      </c>
      <c r="AR132" s="101">
        <f>AR131*1.03</f>
        <v>0</v>
      </c>
      <c r="AS132" s="599">
        <f>AR132*(1/((1+0.064)^(30-0.5)))</f>
        <v>0</v>
      </c>
    </row>
    <row r="133" s="58" customFormat="1" ht="15" customHeight="1" hidden="1">
      <c r="Z133" t="s" s="88">
        <v>313</v>
      </c>
      <c r="AA133" t="s" s="533">
        <v>861</v>
      </c>
      <c r="AC133" s="534">
        <v>354.1</v>
      </c>
      <c r="AD133" t="s" s="535">
        <v>862</v>
      </c>
      <c r="AF133" t="s" s="88">
        <v>313</v>
      </c>
      <c r="AP133" s="101">
        <f>SUM(AP103:AP132)</f>
        <v>0</v>
      </c>
    </row>
    <row r="134" s="58" customFormat="1" ht="15" customHeight="1" hidden="1">
      <c r="Z134" t="s" s="88">
        <v>314</v>
      </c>
      <c r="AA134" t="s" s="533">
        <v>868</v>
      </c>
      <c r="AC134" s="534">
        <v>322</v>
      </c>
      <c r="AD134" t="s" s="535">
        <v>65</v>
      </c>
      <c r="AF134" t="s" s="88">
        <v>314</v>
      </c>
    </row>
    <row r="135" s="58" customFormat="1" ht="15" customHeight="1" hidden="1">
      <c r="Z135" t="s" s="88">
        <v>315</v>
      </c>
      <c r="AA135" t="s" s="533">
        <v>871</v>
      </c>
      <c r="AC135" s="534">
        <v>299.6</v>
      </c>
      <c r="AD135" t="s" s="535">
        <v>791</v>
      </c>
      <c r="AF135" t="s" s="88">
        <v>315</v>
      </c>
    </row>
    <row r="136" s="58" customFormat="1" ht="15" customHeight="1" hidden="1">
      <c r="Z136" t="s" s="88">
        <v>316</v>
      </c>
      <c r="AA136" t="s" s="533">
        <v>861</v>
      </c>
      <c r="AC136" s="534">
        <v>354.1</v>
      </c>
      <c r="AD136" t="s" s="535">
        <v>862</v>
      </c>
      <c r="AF136" t="s" s="88">
        <v>316</v>
      </c>
    </row>
    <row r="137" s="58" customFormat="1" ht="15" customHeight="1" hidden="1">
      <c r="Z137" t="s" s="88">
        <v>317</v>
      </c>
      <c r="AA137" t="s" s="533">
        <v>819</v>
      </c>
      <c r="AC137" s="534">
        <v>303.1</v>
      </c>
      <c r="AD137" t="s" s="535">
        <v>59</v>
      </c>
      <c r="AF137" t="s" s="88">
        <v>317</v>
      </c>
    </row>
    <row r="138" s="58" customFormat="1" ht="15" customHeight="1" hidden="1">
      <c r="Z138" t="s" s="88">
        <v>318</v>
      </c>
      <c r="AA138" t="s" s="533">
        <v>781</v>
      </c>
      <c r="AC138" s="534">
        <v>354.1</v>
      </c>
      <c r="AD138" t="s" s="535">
        <v>782</v>
      </c>
      <c r="AF138" t="s" s="88">
        <v>318</v>
      </c>
    </row>
    <row r="139" s="58" customFormat="1" ht="15" customHeight="1" hidden="1">
      <c r="Z139" t="s" s="88">
        <v>319</v>
      </c>
      <c r="AA139" t="s" s="533">
        <v>796</v>
      </c>
      <c r="AC139" s="534">
        <v>325.9</v>
      </c>
      <c r="AD139" t="s" s="535">
        <v>778</v>
      </c>
      <c r="AF139" t="s" s="88">
        <v>319</v>
      </c>
    </row>
    <row r="140" s="58" customFormat="1" ht="15" customHeight="1" hidden="1">
      <c r="Z140" t="s" s="88">
        <v>320</v>
      </c>
      <c r="AA140" t="s" s="533">
        <v>871</v>
      </c>
      <c r="AC140" s="534">
        <v>299.6</v>
      </c>
      <c r="AD140" t="s" s="535">
        <v>791</v>
      </c>
      <c r="AF140" t="s" s="88">
        <v>320</v>
      </c>
    </row>
    <row r="141" s="58" customFormat="1" ht="15" customHeight="1" hidden="1">
      <c r="Z141" t="s" s="88">
        <v>321</v>
      </c>
      <c r="AA141" t="s" s="533">
        <v>781</v>
      </c>
      <c r="AC141" s="534">
        <v>354.1</v>
      </c>
      <c r="AD141" t="s" s="535">
        <v>782</v>
      </c>
      <c r="AF141" t="s" s="88">
        <v>321</v>
      </c>
    </row>
    <row r="142" s="58" customFormat="1" ht="15" customHeight="1" hidden="1">
      <c r="Z142" t="s" s="88">
        <v>322</v>
      </c>
      <c r="AA142" t="s" s="533">
        <v>799</v>
      </c>
      <c r="AC142" s="534">
        <v>328.7</v>
      </c>
      <c r="AD142" t="s" s="535">
        <v>67</v>
      </c>
      <c r="AF142" t="s" s="88">
        <v>322</v>
      </c>
    </row>
    <row r="143" s="58" customFormat="1" ht="15" customHeight="1" hidden="1">
      <c r="Z143" t="s" s="88">
        <v>323</v>
      </c>
      <c r="AA143" t="s" s="533">
        <v>878</v>
      </c>
      <c r="AC143" s="534">
        <v>338.4</v>
      </c>
      <c r="AD143" t="s" s="535">
        <v>63</v>
      </c>
      <c r="AF143" t="s" s="88">
        <v>323</v>
      </c>
    </row>
    <row r="144" s="58" customFormat="1" ht="15" customHeight="1" hidden="1">
      <c r="Z144" t="s" s="88">
        <v>324</v>
      </c>
      <c r="AA144" t="s" s="533">
        <v>851</v>
      </c>
      <c r="AC144" s="534">
        <v>281.5</v>
      </c>
      <c r="AD144" t="s" s="535">
        <v>67</v>
      </c>
      <c r="AF144" t="s" s="88">
        <v>324</v>
      </c>
    </row>
    <row r="145" s="58" customFormat="1" ht="15" customHeight="1" hidden="1">
      <c r="Z145" t="s" s="88">
        <v>325</v>
      </c>
      <c r="AA145" t="s" s="533">
        <v>799</v>
      </c>
      <c r="AC145" s="534">
        <v>328.7</v>
      </c>
      <c r="AD145" t="s" s="535">
        <v>67</v>
      </c>
      <c r="AF145" t="s" s="88">
        <v>325</v>
      </c>
    </row>
    <row r="146" s="58" customFormat="1" ht="15" customHeight="1" hidden="1">
      <c r="Z146" t="s" s="88">
        <v>326</v>
      </c>
      <c r="AA146" t="s" s="533">
        <v>781</v>
      </c>
      <c r="AC146" s="534">
        <v>354.1</v>
      </c>
      <c r="AD146" t="s" s="535">
        <v>782</v>
      </c>
      <c r="AF146" t="s" s="88">
        <v>326</v>
      </c>
    </row>
    <row r="147" s="58" customFormat="1" ht="15" customHeight="1" hidden="1">
      <c r="Z147" t="s" s="88">
        <v>327</v>
      </c>
      <c r="AA147" t="s" s="533">
        <v>856</v>
      </c>
      <c r="AC147" s="534">
        <v>289.6</v>
      </c>
      <c r="AD147" t="s" s="535">
        <v>80</v>
      </c>
      <c r="AF147" t="s" s="88">
        <v>327</v>
      </c>
    </row>
    <row r="148" s="58" customFormat="1" ht="15" customHeight="1" hidden="1">
      <c r="Z148" t="s" s="88">
        <v>328</v>
      </c>
      <c r="AA148" t="s" s="533">
        <v>858</v>
      </c>
      <c r="AC148" s="534">
        <v>343.7</v>
      </c>
      <c r="AD148" t="s" s="535">
        <v>778</v>
      </c>
      <c r="AF148" t="s" s="88">
        <v>328</v>
      </c>
    </row>
    <row r="149" s="58" customFormat="1" ht="15" customHeight="1" hidden="1">
      <c r="Z149" t="s" s="88">
        <v>329</v>
      </c>
      <c r="AA149" t="s" s="533">
        <v>765</v>
      </c>
      <c r="AC149" s="534">
        <v>321.1</v>
      </c>
      <c r="AD149" t="s" s="535">
        <v>59</v>
      </c>
      <c r="AF149" t="s" s="88">
        <v>329</v>
      </c>
    </row>
    <row r="150" s="58" customFormat="1" ht="15" customHeight="1" hidden="1">
      <c r="Z150" t="s" s="88">
        <v>331</v>
      </c>
      <c r="AA150" t="s" s="533">
        <v>781</v>
      </c>
      <c r="AC150" s="534">
        <v>354.1</v>
      </c>
      <c r="AD150" t="s" s="535">
        <v>782</v>
      </c>
      <c r="AF150" t="s" s="88">
        <v>331</v>
      </c>
    </row>
    <row r="151" s="58" customFormat="1" ht="15" customHeight="1" hidden="1">
      <c r="Z151" t="s" s="88">
        <v>332</v>
      </c>
      <c r="AA151" t="s" s="533">
        <v>819</v>
      </c>
      <c r="AC151" s="534">
        <v>303.1</v>
      </c>
      <c r="AD151" t="s" s="535">
        <v>59</v>
      </c>
      <c r="AF151" t="s" s="88">
        <v>332</v>
      </c>
    </row>
    <row r="152" s="58" customFormat="1" ht="15" customHeight="1" hidden="1">
      <c r="Z152" t="s" s="88">
        <v>333</v>
      </c>
      <c r="AA152" t="s" s="533">
        <v>760</v>
      </c>
      <c r="AC152" s="534">
        <v>332.5</v>
      </c>
      <c r="AD152" t="s" s="535">
        <v>67</v>
      </c>
      <c r="AF152" t="s" s="88">
        <v>333</v>
      </c>
    </row>
    <row r="153" s="58" customFormat="1" ht="15" customHeight="1" hidden="1">
      <c r="Z153" t="s" s="88">
        <v>334</v>
      </c>
      <c r="AA153" t="s" s="533">
        <v>781</v>
      </c>
      <c r="AC153" s="534">
        <v>354.1</v>
      </c>
      <c r="AD153" t="s" s="535">
        <v>782</v>
      </c>
      <c r="AF153" t="s" s="88">
        <v>334</v>
      </c>
    </row>
    <row r="154" s="58" customFormat="1" ht="15" customHeight="1" hidden="1">
      <c r="Z154" t="s" s="88">
        <v>335</v>
      </c>
      <c r="AA154" t="s" s="533">
        <v>860</v>
      </c>
      <c r="AC154" s="534">
        <v>330.1</v>
      </c>
      <c r="AD154" t="s" s="535">
        <v>778</v>
      </c>
      <c r="AF154" t="s" s="88">
        <v>335</v>
      </c>
    </row>
    <row r="155" s="58" customFormat="1" ht="15" customHeight="1" hidden="1">
      <c r="Z155" t="s" s="88">
        <v>336</v>
      </c>
      <c r="AA155" t="s" s="533">
        <v>822</v>
      </c>
      <c r="AC155" s="534">
        <v>302.7</v>
      </c>
      <c r="AD155" t="s" s="535">
        <v>65</v>
      </c>
      <c r="AF155" t="s" s="88">
        <v>336</v>
      </c>
    </row>
    <row r="156" s="58" customFormat="1" ht="15" customHeight="1" hidden="1">
      <c r="Z156" t="s" s="88">
        <v>338</v>
      </c>
      <c r="AA156" t="s" s="533">
        <v>777</v>
      </c>
      <c r="AC156" s="534">
        <v>304.3</v>
      </c>
      <c r="AD156" t="s" s="535">
        <v>778</v>
      </c>
      <c r="AF156" t="s" s="88">
        <v>338</v>
      </c>
    </row>
    <row r="157" s="58" customFormat="1" ht="15" customHeight="1" hidden="1">
      <c r="Z157" t="s" s="88">
        <v>339</v>
      </c>
      <c r="AA157" t="s" s="533">
        <v>879</v>
      </c>
      <c r="AC157" s="534">
        <v>288.5</v>
      </c>
      <c r="AD157" t="s" s="535">
        <v>67</v>
      </c>
      <c r="AF157" t="s" s="88">
        <v>339</v>
      </c>
    </row>
    <row r="158" s="58" customFormat="1" ht="15" customHeight="1" hidden="1">
      <c r="Z158" t="s" s="88">
        <v>340</v>
      </c>
      <c r="AA158" t="s" s="533">
        <v>864</v>
      </c>
      <c r="AC158" s="534">
        <v>255.5</v>
      </c>
      <c r="AD158" t="s" s="535">
        <v>71</v>
      </c>
      <c r="AF158" t="s" s="88">
        <v>340</v>
      </c>
    </row>
    <row r="159" s="58" customFormat="1" ht="15" customHeight="1" hidden="1">
      <c r="Z159" t="s" s="88">
        <v>341</v>
      </c>
      <c r="AA159" t="s" s="533">
        <v>861</v>
      </c>
      <c r="AC159" s="534">
        <v>354.1</v>
      </c>
      <c r="AD159" t="s" s="535">
        <v>862</v>
      </c>
      <c r="AF159" t="s" s="88">
        <v>341</v>
      </c>
    </row>
    <row r="160" s="58" customFormat="1" ht="15" customHeight="1" hidden="1">
      <c r="Z160" t="s" s="88">
        <v>342</v>
      </c>
      <c r="AA160" t="s" s="533">
        <v>880</v>
      </c>
      <c r="AC160" s="534">
        <v>313.9</v>
      </c>
      <c r="AD160" t="s" s="535">
        <v>71</v>
      </c>
      <c r="AF160" t="s" s="88">
        <v>342</v>
      </c>
    </row>
    <row r="161" s="58" customFormat="1" ht="15" customHeight="1" hidden="1">
      <c r="Z161" t="s" s="88">
        <v>343</v>
      </c>
      <c r="AA161" t="s" s="533">
        <v>861</v>
      </c>
      <c r="AC161" s="534">
        <v>354.1</v>
      </c>
      <c r="AD161" t="s" s="535">
        <v>862</v>
      </c>
      <c r="AF161" t="s" s="88">
        <v>343</v>
      </c>
    </row>
    <row r="162" s="58" customFormat="1" ht="15" customHeight="1" hidden="1">
      <c r="Z162" t="s" s="88">
        <v>344</v>
      </c>
      <c r="AA162" t="s" s="533">
        <v>864</v>
      </c>
      <c r="AC162" s="534">
        <v>255.5</v>
      </c>
      <c r="AD162" t="s" s="535">
        <v>71</v>
      </c>
      <c r="AF162" t="s" s="88">
        <v>344</v>
      </c>
    </row>
    <row r="163" s="58" customFormat="1" ht="15" customHeight="1" hidden="1">
      <c r="Z163" t="s" s="88">
        <v>345</v>
      </c>
      <c r="AA163" t="s" s="533">
        <v>870</v>
      </c>
      <c r="AC163" s="534">
        <v>328.5</v>
      </c>
      <c r="AD163" t="s" s="535">
        <v>59</v>
      </c>
      <c r="AF163" t="s" s="88">
        <v>345</v>
      </c>
    </row>
    <row r="164" s="58" customFormat="1" ht="15" customHeight="1" hidden="1">
      <c r="Z164" t="s" s="88">
        <v>346</v>
      </c>
      <c r="AA164" t="s" s="533">
        <v>845</v>
      </c>
      <c r="AC164" s="534">
        <v>302.5</v>
      </c>
      <c r="AD164" t="s" s="535">
        <v>778</v>
      </c>
      <c r="AF164" t="s" s="88">
        <v>346</v>
      </c>
    </row>
    <row r="165" s="58" customFormat="1" ht="15" customHeight="1" hidden="1">
      <c r="Z165" t="s" s="88">
        <v>881</v>
      </c>
      <c r="AA165" t="s" s="533">
        <v>875</v>
      </c>
      <c r="AC165" s="534">
        <v>318.4</v>
      </c>
      <c r="AD165" t="s" s="535">
        <v>791</v>
      </c>
      <c r="AF165" t="s" s="88">
        <v>881</v>
      </c>
    </row>
    <row r="166" s="58" customFormat="1" ht="15" customHeight="1" hidden="1">
      <c r="Z166" t="s" s="88">
        <v>882</v>
      </c>
      <c r="AA166" t="s" s="533">
        <v>781</v>
      </c>
      <c r="AC166" s="534">
        <v>354.1</v>
      </c>
      <c r="AD166" t="s" s="535">
        <v>782</v>
      </c>
      <c r="AF166" t="s" s="88">
        <v>882</v>
      </c>
    </row>
    <row r="167" s="58" customFormat="1" ht="15" customHeight="1" hidden="1">
      <c r="Z167" t="s" s="88">
        <v>349</v>
      </c>
      <c r="AA167" t="s" s="533">
        <v>842</v>
      </c>
      <c r="AC167" s="534">
        <v>302.7</v>
      </c>
      <c r="AD167" t="s" s="535">
        <v>791</v>
      </c>
      <c r="AF167" t="s" s="88">
        <v>349</v>
      </c>
    </row>
    <row r="168" s="58" customFormat="1" ht="15" customHeight="1" hidden="1">
      <c r="Z168" t="s" s="88">
        <v>350</v>
      </c>
      <c r="AA168" t="s" s="533">
        <v>883</v>
      </c>
      <c r="AC168" s="534">
        <v>324.9</v>
      </c>
      <c r="AD168" t="s" s="535">
        <v>65</v>
      </c>
      <c r="AF168" t="s" s="88">
        <v>350</v>
      </c>
    </row>
    <row r="169" s="58" customFormat="1" ht="15" customHeight="1" hidden="1">
      <c r="Z169" t="s" s="88">
        <v>351</v>
      </c>
      <c r="AA169" t="s" s="533">
        <v>861</v>
      </c>
      <c r="AC169" s="534">
        <v>354.1</v>
      </c>
      <c r="AD169" t="s" s="535">
        <v>862</v>
      </c>
      <c r="AF169" t="s" s="88">
        <v>351</v>
      </c>
    </row>
    <row r="170" s="58" customFormat="1" ht="15" customHeight="1" hidden="1">
      <c r="Z170" t="s" s="88">
        <v>352</v>
      </c>
      <c r="AA170" t="s" s="533">
        <v>822</v>
      </c>
      <c r="AC170" s="534">
        <v>302.7</v>
      </c>
      <c r="AD170" t="s" s="535">
        <v>65</v>
      </c>
      <c r="AF170" t="s" s="88">
        <v>352</v>
      </c>
    </row>
    <row r="171" s="58" customFormat="1" ht="15" customHeight="1" hidden="1">
      <c r="Z171" t="s" s="88">
        <v>353</v>
      </c>
      <c r="AA171" t="s" s="533">
        <v>842</v>
      </c>
      <c r="AC171" s="534">
        <v>302.7</v>
      </c>
      <c r="AD171" t="s" s="535">
        <v>791</v>
      </c>
      <c r="AF171" t="s" s="88">
        <v>353</v>
      </c>
    </row>
    <row r="172" s="58" customFormat="1" ht="15" customHeight="1" hidden="1">
      <c r="Z172" t="s" s="88">
        <v>354</v>
      </c>
      <c r="AA172" t="s" s="533">
        <v>819</v>
      </c>
      <c r="AC172" s="534">
        <v>303.1</v>
      </c>
      <c r="AD172" t="s" s="535">
        <v>59</v>
      </c>
      <c r="AF172" t="s" s="88">
        <v>354</v>
      </c>
    </row>
    <row r="173" s="58" customFormat="1" ht="15" customHeight="1" hidden="1">
      <c r="Z173" t="s" s="88">
        <v>355</v>
      </c>
      <c r="AA173" t="s" s="533">
        <v>851</v>
      </c>
      <c r="AC173" s="534">
        <v>281.5</v>
      </c>
      <c r="AD173" t="s" s="535">
        <v>67</v>
      </c>
      <c r="AF173" t="s" s="88">
        <v>355</v>
      </c>
    </row>
    <row r="174" s="58" customFormat="1" ht="15" customHeight="1" hidden="1">
      <c r="Z174" t="s" s="88">
        <v>356</v>
      </c>
      <c r="AA174" t="s" s="533">
        <v>861</v>
      </c>
      <c r="AC174" s="534">
        <v>354.1</v>
      </c>
      <c r="AD174" t="s" s="535">
        <v>862</v>
      </c>
      <c r="AF174" t="s" s="88">
        <v>356</v>
      </c>
    </row>
    <row r="175" s="58" customFormat="1" ht="15" customHeight="1" hidden="1">
      <c r="Z175" t="s" s="88">
        <v>357</v>
      </c>
      <c r="AA175" t="s" s="533">
        <v>863</v>
      </c>
      <c r="AC175" s="534">
        <v>296.2</v>
      </c>
      <c r="AD175" t="s" s="535">
        <v>80</v>
      </c>
      <c r="AF175" t="s" s="88">
        <v>357</v>
      </c>
    </row>
    <row r="176" s="58" customFormat="1" ht="15" customHeight="1" hidden="1">
      <c r="Z176" t="s" s="88">
        <v>358</v>
      </c>
      <c r="AA176" t="s" s="533">
        <v>836</v>
      </c>
      <c r="AC176" s="534">
        <v>286.7</v>
      </c>
      <c r="AD176" t="s" s="535">
        <v>59</v>
      </c>
      <c r="AF176" t="s" s="88">
        <v>358</v>
      </c>
    </row>
    <row r="177" s="58" customFormat="1" ht="15" customHeight="1" hidden="1">
      <c r="Z177" t="s" s="88">
        <v>359</v>
      </c>
      <c r="AA177" t="s" s="533">
        <v>883</v>
      </c>
      <c r="AC177" s="534">
        <v>324.9</v>
      </c>
      <c r="AD177" t="s" s="535">
        <v>65</v>
      </c>
      <c r="AF177" t="s" s="88">
        <v>359</v>
      </c>
    </row>
    <row r="178" s="58" customFormat="1" ht="15" customHeight="1" hidden="1">
      <c r="Z178" t="s" s="182">
        <v>360</v>
      </c>
      <c r="AA178" t="s" s="606">
        <v>807</v>
      </c>
      <c r="AC178" s="534">
        <v>343.7</v>
      </c>
      <c r="AD178" t="s" s="535">
        <v>778</v>
      </c>
      <c r="AF178" t="s" s="182">
        <v>360</v>
      </c>
    </row>
    <row r="179" s="58" customFormat="1" ht="15" customHeight="1" hidden="1">
      <c r="Z179" t="s" s="88">
        <v>361</v>
      </c>
      <c r="AA179" t="s" s="533">
        <v>868</v>
      </c>
      <c r="AC179" s="534">
        <v>322</v>
      </c>
      <c r="AD179" t="s" s="535">
        <v>65</v>
      </c>
      <c r="AF179" t="s" s="88">
        <v>361</v>
      </c>
    </row>
    <row r="180" s="58" customFormat="1" ht="15" customHeight="1" hidden="1">
      <c r="Z180" t="s" s="88">
        <v>362</v>
      </c>
      <c r="AA180" t="s" s="533">
        <v>771</v>
      </c>
      <c r="AC180" s="534">
        <v>316.4</v>
      </c>
      <c r="AD180" t="s" s="535">
        <v>67</v>
      </c>
      <c r="AF180" t="s" s="88">
        <v>362</v>
      </c>
    </row>
    <row r="181" s="58" customFormat="1" ht="15" customHeight="1" hidden="1">
      <c r="Z181" t="s" s="88">
        <v>363</v>
      </c>
      <c r="AA181" t="s" s="533">
        <v>796</v>
      </c>
      <c r="AC181" s="534">
        <v>325.9</v>
      </c>
      <c r="AD181" t="s" s="535">
        <v>778</v>
      </c>
      <c r="AF181" t="s" s="88">
        <v>363</v>
      </c>
    </row>
    <row r="182" s="58" customFormat="1" ht="15" customHeight="1" hidden="1">
      <c r="Z182" t="s" s="88">
        <v>364</v>
      </c>
      <c r="AA182" t="s" s="533">
        <v>856</v>
      </c>
      <c r="AC182" s="534">
        <v>289.6</v>
      </c>
      <c r="AD182" t="s" s="535">
        <v>80</v>
      </c>
      <c r="AF182" t="s" s="88">
        <v>364</v>
      </c>
    </row>
    <row r="183" s="58" customFormat="1" ht="15" customHeight="1" hidden="1">
      <c r="Z183" t="s" s="88">
        <v>365</v>
      </c>
      <c r="AA183" t="s" s="533">
        <v>833</v>
      </c>
      <c r="AC183" s="534">
        <v>307.3</v>
      </c>
      <c r="AD183" t="s" s="535">
        <v>65</v>
      </c>
      <c r="AF183" t="s" s="88">
        <v>365</v>
      </c>
    </row>
    <row r="184" s="58" customFormat="1" ht="15" customHeight="1" hidden="1">
      <c r="Z184" t="s" s="88">
        <v>366</v>
      </c>
      <c r="AA184" t="s" s="533">
        <v>768</v>
      </c>
      <c r="AC184" s="534">
        <v>298</v>
      </c>
      <c r="AD184" t="s" s="535">
        <v>59</v>
      </c>
      <c r="AF184" t="s" s="88">
        <v>366</v>
      </c>
    </row>
    <row r="185" s="58" customFormat="1" ht="15" customHeight="1" hidden="1">
      <c r="Z185" t="s" s="88">
        <v>367</v>
      </c>
      <c r="AA185" t="s" s="533">
        <v>819</v>
      </c>
      <c r="AC185" s="534">
        <v>303.1</v>
      </c>
      <c r="AD185" t="s" s="535">
        <v>59</v>
      </c>
      <c r="AF185" t="s" s="88">
        <v>367</v>
      </c>
    </row>
    <row r="186" s="58" customFormat="1" ht="15" customHeight="1" hidden="1">
      <c r="Z186" t="s" s="88">
        <v>368</v>
      </c>
      <c r="AA186" t="s" s="533">
        <v>884</v>
      </c>
      <c r="AC186" s="534">
        <v>299.7</v>
      </c>
      <c r="AD186" t="s" s="535">
        <v>71</v>
      </c>
      <c r="AF186" t="s" s="88">
        <v>368</v>
      </c>
    </row>
    <row r="187" s="58" customFormat="1" ht="15" customHeight="1" hidden="1">
      <c r="Z187" t="s" s="88">
        <v>369</v>
      </c>
      <c r="AA187" t="s" s="533">
        <v>781</v>
      </c>
      <c r="AC187" s="534">
        <v>354.1</v>
      </c>
      <c r="AD187" t="s" s="535">
        <v>782</v>
      </c>
      <c r="AF187" t="s" s="88">
        <v>369</v>
      </c>
    </row>
    <row r="188" s="58" customFormat="1" ht="15" customHeight="1" hidden="1">
      <c r="Z188" t="s" s="88">
        <v>370</v>
      </c>
      <c r="AA188" t="s" s="533">
        <v>807</v>
      </c>
      <c r="AC188" s="534">
        <v>343.7</v>
      </c>
      <c r="AD188" t="s" s="535">
        <v>778</v>
      </c>
      <c r="AF188" t="s" s="88">
        <v>370</v>
      </c>
    </row>
    <row r="189" s="58" customFormat="1" ht="15" customHeight="1" hidden="1">
      <c r="Z189" t="s" s="88">
        <v>371</v>
      </c>
      <c r="AA189" t="s" s="533">
        <v>873</v>
      </c>
      <c r="AC189" s="534">
        <v>278</v>
      </c>
      <c r="AD189" t="s" s="535">
        <v>71</v>
      </c>
      <c r="AF189" t="s" s="88">
        <v>371</v>
      </c>
    </row>
    <row r="190" s="58" customFormat="1" ht="15" customHeight="1" hidden="1">
      <c r="Z190" t="s" s="88">
        <v>372</v>
      </c>
      <c r="AA190" t="s" s="533">
        <v>777</v>
      </c>
      <c r="AC190" s="534">
        <v>304.3</v>
      </c>
      <c r="AD190" t="s" s="535">
        <v>778</v>
      </c>
      <c r="AF190" t="s" s="88">
        <v>372</v>
      </c>
    </row>
    <row r="191" s="58" customFormat="1" ht="15" customHeight="1" hidden="1">
      <c r="Z191" t="s" s="88">
        <v>373</v>
      </c>
      <c r="AA191" t="s" s="533">
        <v>760</v>
      </c>
      <c r="AC191" s="534">
        <v>332.5</v>
      </c>
      <c r="AD191" t="s" s="535">
        <v>67</v>
      </c>
      <c r="AF191" t="s" s="88">
        <v>373</v>
      </c>
    </row>
    <row r="192" s="58" customFormat="1" ht="15" customHeight="1" hidden="1">
      <c r="Z192" t="s" s="88">
        <v>374</v>
      </c>
      <c r="AA192" t="s" s="533">
        <v>878</v>
      </c>
      <c r="AC192" s="534">
        <v>338.4</v>
      </c>
      <c r="AD192" t="s" s="535">
        <v>63</v>
      </c>
      <c r="AF192" t="s" s="88">
        <v>374</v>
      </c>
    </row>
    <row r="193" s="58" customFormat="1" ht="15" customHeight="1" hidden="1">
      <c r="Z193" t="s" s="88">
        <v>376</v>
      </c>
      <c r="AA193" t="s" s="533">
        <v>774</v>
      </c>
      <c r="AC193" s="534">
        <v>328.3</v>
      </c>
      <c r="AD193" t="s" s="535">
        <v>67</v>
      </c>
      <c r="AF193" t="s" s="88">
        <v>376</v>
      </c>
    </row>
    <row r="194" s="58" customFormat="1" ht="15" customHeight="1" hidden="1">
      <c r="Z194" t="s" s="88">
        <v>377</v>
      </c>
      <c r="AA194" t="s" s="533">
        <v>876</v>
      </c>
      <c r="AC194" s="534">
        <v>333.2</v>
      </c>
      <c r="AD194" t="s" s="535">
        <v>67</v>
      </c>
      <c r="AF194" t="s" s="182">
        <v>377</v>
      </c>
    </row>
    <row r="195" s="58" customFormat="1" ht="15" customHeight="1" hidden="1">
      <c r="Z195" t="s" s="88">
        <v>379</v>
      </c>
      <c r="AA195" t="s" s="533">
        <v>799</v>
      </c>
      <c r="AC195" s="534">
        <v>328.7</v>
      </c>
      <c r="AD195" t="s" s="535">
        <v>67</v>
      </c>
      <c r="AF195" t="s" s="88">
        <v>379</v>
      </c>
    </row>
    <row r="196" s="58" customFormat="1" ht="15" customHeight="1" hidden="1">
      <c r="Z196" t="s" s="88">
        <v>380</v>
      </c>
      <c r="AA196" t="s" s="533">
        <v>768</v>
      </c>
      <c r="AC196" s="534">
        <v>298</v>
      </c>
      <c r="AD196" t="s" s="535">
        <v>59</v>
      </c>
      <c r="AF196" t="s" s="88">
        <v>380</v>
      </c>
    </row>
    <row r="197" s="58" customFormat="1" ht="15" customHeight="1" hidden="1">
      <c r="Z197" t="s" s="88">
        <v>381</v>
      </c>
      <c r="AA197" t="s" s="533">
        <v>877</v>
      </c>
      <c r="AC197" s="534">
        <v>296.2</v>
      </c>
      <c r="AD197" t="s" s="535">
        <v>63</v>
      </c>
      <c r="AF197" t="s" s="88">
        <v>381</v>
      </c>
    </row>
    <row r="198" s="58" customFormat="1" ht="15" customHeight="1" hidden="1">
      <c r="Z198" t="s" s="88">
        <v>382</v>
      </c>
      <c r="AA198" t="s" s="533">
        <v>863</v>
      </c>
      <c r="AC198" s="534">
        <v>307.9</v>
      </c>
      <c r="AD198" t="s" s="607">
        <v>863</v>
      </c>
      <c r="AF198" t="s" s="88">
        <v>382</v>
      </c>
    </row>
    <row r="199" s="58" customFormat="1" ht="15" customHeight="1" hidden="1">
      <c r="Z199" t="s" s="88">
        <v>383</v>
      </c>
      <c r="AA199" t="s" s="533">
        <v>781</v>
      </c>
      <c r="AC199" s="534">
        <v>354.1</v>
      </c>
      <c r="AD199" t="s" s="535">
        <v>782</v>
      </c>
      <c r="AF199" t="s" s="88">
        <v>383</v>
      </c>
    </row>
    <row r="200" s="58" customFormat="1" ht="15" customHeight="1" hidden="1">
      <c r="Z200" t="s" s="88">
        <v>385</v>
      </c>
      <c r="AA200" t="s" s="533">
        <v>864</v>
      </c>
      <c r="AC200" s="534">
        <v>255.5</v>
      </c>
      <c r="AD200" t="s" s="535">
        <v>71</v>
      </c>
      <c r="AF200" t="s" s="88">
        <v>385</v>
      </c>
    </row>
    <row r="201" s="58" customFormat="1" ht="15" customHeight="1" hidden="1">
      <c r="Z201" t="s" s="88">
        <v>386</v>
      </c>
      <c r="AA201" t="s" s="533">
        <v>873</v>
      </c>
      <c r="AC201" s="534">
        <v>278</v>
      </c>
      <c r="AD201" t="s" s="535">
        <v>71</v>
      </c>
      <c r="AF201" t="s" s="88">
        <v>386</v>
      </c>
    </row>
    <row r="202" s="58" customFormat="1" ht="15" customHeight="1" hidden="1">
      <c r="Z202" t="s" s="88">
        <v>387</v>
      </c>
      <c r="AA202" t="s" s="533">
        <v>838</v>
      </c>
      <c r="AC202" s="534">
        <v>293.9</v>
      </c>
      <c r="AD202" t="s" s="535">
        <v>71</v>
      </c>
      <c r="AF202" t="s" s="88">
        <v>387</v>
      </c>
    </row>
    <row r="203" s="58" customFormat="1" ht="15" customHeight="1" hidden="1">
      <c r="Z203" t="s" s="88">
        <v>388</v>
      </c>
      <c r="AA203" t="s" s="533">
        <v>765</v>
      </c>
      <c r="AC203" s="534">
        <v>321.1</v>
      </c>
      <c r="AD203" t="s" s="535">
        <v>59</v>
      </c>
      <c r="AF203" t="s" s="88">
        <v>388</v>
      </c>
    </row>
    <row r="204" s="58" customFormat="1" ht="15" customHeight="1" hidden="1">
      <c r="Z204" t="s" s="88">
        <v>389</v>
      </c>
      <c r="AA204" t="s" s="533">
        <v>875</v>
      </c>
      <c r="AC204" s="534">
        <v>318.4</v>
      </c>
      <c r="AD204" t="s" s="535">
        <v>791</v>
      </c>
      <c r="AF204" t="s" s="88">
        <v>389</v>
      </c>
    </row>
    <row r="205" s="58" customFormat="1" ht="15" customHeight="1" hidden="1">
      <c r="Z205" t="s" s="88">
        <v>390</v>
      </c>
      <c r="AA205" t="s" s="533">
        <v>858</v>
      </c>
      <c r="AC205" s="534">
        <v>343.7</v>
      </c>
      <c r="AD205" t="s" s="535">
        <v>778</v>
      </c>
      <c r="AF205" t="s" s="88">
        <v>390</v>
      </c>
    </row>
    <row r="206" s="58" customFormat="1" ht="15" customHeight="1" hidden="1">
      <c r="Z206" t="s" s="88">
        <v>391</v>
      </c>
      <c r="AA206" t="s" s="533">
        <v>836</v>
      </c>
      <c r="AC206" s="534">
        <v>286.7</v>
      </c>
      <c r="AD206" t="s" s="535">
        <v>59</v>
      </c>
      <c r="AF206" t="s" s="88">
        <v>391</v>
      </c>
    </row>
    <row r="207" s="58" customFormat="1" ht="15" customHeight="1" hidden="1">
      <c r="Z207" t="s" s="88">
        <v>393</v>
      </c>
      <c r="AA207" t="s" s="533">
        <v>875</v>
      </c>
      <c r="AC207" s="534">
        <v>318.4</v>
      </c>
      <c r="AD207" t="s" s="535">
        <v>791</v>
      </c>
      <c r="AF207" t="s" s="88">
        <v>393</v>
      </c>
    </row>
    <row r="208" s="58" customFormat="1" ht="15" customHeight="1" hidden="1">
      <c r="Z208" t="s" s="88">
        <v>394</v>
      </c>
      <c r="AA208" t="s" s="533">
        <v>845</v>
      </c>
      <c r="AC208" s="534">
        <v>302.5</v>
      </c>
      <c r="AD208" t="s" s="535">
        <v>778</v>
      </c>
      <c r="AF208" t="s" s="88">
        <v>394</v>
      </c>
    </row>
    <row r="209" s="58" customFormat="1" ht="15" customHeight="1" hidden="1">
      <c r="Z209" t="s" s="88">
        <v>395</v>
      </c>
      <c r="AA209" t="s" s="533">
        <v>849</v>
      </c>
      <c r="AC209" s="534">
        <v>295.4</v>
      </c>
      <c r="AD209" t="s" s="535">
        <v>80</v>
      </c>
      <c r="AF209" t="s" s="88">
        <v>395</v>
      </c>
    </row>
    <row r="210" s="58" customFormat="1" ht="15" customHeight="1" hidden="1">
      <c r="Z210" t="s" s="88">
        <v>885</v>
      </c>
      <c r="AA210" t="s" s="533">
        <v>804</v>
      </c>
      <c r="AC210" s="534">
        <v>321.2</v>
      </c>
      <c r="AD210" t="s" s="535">
        <v>71</v>
      </c>
      <c r="AF210" t="s" s="88">
        <v>885</v>
      </c>
    </row>
    <row r="211" s="58" customFormat="1" ht="15" customHeight="1" hidden="1">
      <c r="Z211" t="s" s="88">
        <v>396</v>
      </c>
      <c r="AA211" t="s" s="533">
        <v>877</v>
      </c>
      <c r="AC211" s="534">
        <v>307.9</v>
      </c>
      <c r="AD211" t="s" s="535">
        <v>63</v>
      </c>
      <c r="AF211" t="s" s="88">
        <v>396</v>
      </c>
    </row>
    <row r="212" s="58" customFormat="1" ht="15" customHeight="1" hidden="1">
      <c r="Z212" t="s" s="88">
        <v>398</v>
      </c>
      <c r="AA212" t="s" s="533">
        <v>886</v>
      </c>
      <c r="AC212" s="534">
        <v>326.1</v>
      </c>
      <c r="AD212" t="s" s="535">
        <v>80</v>
      </c>
      <c r="AF212" t="s" s="88">
        <v>398</v>
      </c>
    </row>
    <row r="213" s="58" customFormat="1" ht="15" customHeight="1" hidden="1">
      <c r="Z213" t="s" s="88">
        <v>397</v>
      </c>
      <c r="AA213" t="s" s="533">
        <v>819</v>
      </c>
      <c r="AC213" s="534">
        <v>303.1</v>
      </c>
      <c r="AD213" t="s" s="535">
        <v>59</v>
      </c>
      <c r="AF213" t="s" s="88">
        <v>397</v>
      </c>
    </row>
    <row r="214" s="58" customFormat="1" ht="15" customHeight="1" hidden="1">
      <c r="Z214" t="s" s="88">
        <v>400</v>
      </c>
      <c r="AA214" t="s" s="533">
        <v>880</v>
      </c>
      <c r="AC214" s="534">
        <v>313.9</v>
      </c>
      <c r="AD214" t="s" s="535">
        <v>71</v>
      </c>
      <c r="AF214" t="s" s="88">
        <v>400</v>
      </c>
    </row>
    <row r="215" s="58" customFormat="1" ht="15" customHeight="1" hidden="1">
      <c r="Z215" t="s" s="88">
        <v>401</v>
      </c>
      <c r="AA215" t="s" s="533">
        <v>870</v>
      </c>
      <c r="AC215" s="534">
        <v>328.5</v>
      </c>
      <c r="AD215" t="s" s="535">
        <v>59</v>
      </c>
      <c r="AF215" t="s" s="88">
        <v>401</v>
      </c>
    </row>
    <row r="216" s="58" customFormat="1" ht="15" customHeight="1" hidden="1">
      <c r="Z216" t="s" s="88">
        <v>402</v>
      </c>
      <c r="AA216" t="s" s="533">
        <v>845</v>
      </c>
      <c r="AC216" s="534">
        <v>302.5</v>
      </c>
      <c r="AD216" t="s" s="535">
        <v>778</v>
      </c>
      <c r="AF216" t="s" s="88">
        <v>402</v>
      </c>
    </row>
    <row r="217" s="58" customFormat="1" ht="15" customHeight="1" hidden="1">
      <c r="Z217" t="s" s="88">
        <v>403</v>
      </c>
      <c r="AA217" t="s" s="533">
        <v>768</v>
      </c>
      <c r="AC217" s="534">
        <v>298</v>
      </c>
      <c r="AD217" t="s" s="535">
        <v>59</v>
      </c>
      <c r="AF217" t="s" s="88">
        <v>403</v>
      </c>
    </row>
    <row r="218" s="58" customFormat="1" ht="15" customHeight="1" hidden="1">
      <c r="Z218" t="s" s="88">
        <v>404</v>
      </c>
      <c r="AA218" t="s" s="533">
        <v>886</v>
      </c>
      <c r="AC218" s="534">
        <v>326.1</v>
      </c>
      <c r="AD218" t="s" s="535">
        <v>80</v>
      </c>
      <c r="AF218" t="s" s="88">
        <v>404</v>
      </c>
    </row>
    <row r="219" s="58" customFormat="1" ht="15" customHeight="1" hidden="1">
      <c r="Z219" t="s" s="88">
        <v>405</v>
      </c>
      <c r="AA219" t="s" s="533">
        <v>819</v>
      </c>
      <c r="AC219" s="534">
        <v>303.1</v>
      </c>
      <c r="AD219" t="s" s="535">
        <v>59</v>
      </c>
      <c r="AF219" t="s" s="88">
        <v>405</v>
      </c>
    </row>
    <row r="220" s="58" customFormat="1" ht="15" customHeight="1" hidden="1">
      <c r="Z220" t="s" s="88">
        <v>406</v>
      </c>
      <c r="AA220" t="s" s="533">
        <v>833</v>
      </c>
      <c r="AC220" s="534">
        <v>307.3</v>
      </c>
      <c r="AD220" t="s" s="535">
        <v>65</v>
      </c>
      <c r="AF220" t="s" s="88">
        <v>406</v>
      </c>
    </row>
    <row r="221" s="58" customFormat="1" ht="15" customHeight="1" hidden="1">
      <c r="Z221" t="s" s="88">
        <v>408</v>
      </c>
      <c r="AA221" t="s" s="533">
        <v>849</v>
      </c>
      <c r="AC221" s="534">
        <v>295.4</v>
      </c>
      <c r="AD221" t="s" s="535">
        <v>80</v>
      </c>
      <c r="AF221" t="s" s="88">
        <v>408</v>
      </c>
    </row>
    <row r="222" s="58" customFormat="1" ht="15" customHeight="1" hidden="1">
      <c r="Z222" t="s" s="88">
        <v>409</v>
      </c>
      <c r="AA222" t="s" s="533">
        <v>867</v>
      </c>
      <c r="AC222" s="534">
        <v>323.8</v>
      </c>
      <c r="AD222" t="s" s="535">
        <v>67</v>
      </c>
      <c r="AF222" t="s" s="88">
        <v>409</v>
      </c>
    </row>
    <row r="223" s="58" customFormat="1" ht="15" customHeight="1" hidden="1">
      <c r="Z223" t="s" s="88">
        <v>410</v>
      </c>
      <c r="AA223" t="s" s="533">
        <v>822</v>
      </c>
      <c r="AC223" s="534">
        <v>302.7</v>
      </c>
      <c r="AD223" t="s" s="535">
        <v>65</v>
      </c>
      <c r="AF223" t="s" s="88">
        <v>410</v>
      </c>
    </row>
    <row r="224" s="58" customFormat="1" ht="15" customHeight="1" hidden="1">
      <c r="Z224" t="s" s="88">
        <v>411</v>
      </c>
      <c r="AA224" t="s" s="533">
        <v>864</v>
      </c>
      <c r="AC224" s="534">
        <v>255.5</v>
      </c>
      <c r="AD224" t="s" s="535">
        <v>71</v>
      </c>
      <c r="AF224" t="s" s="88">
        <v>411</v>
      </c>
    </row>
    <row r="225" s="58" customFormat="1" ht="15" customHeight="1" hidden="1">
      <c r="Z225" t="s" s="88">
        <v>413</v>
      </c>
      <c r="AA225" t="s" s="533">
        <v>860</v>
      </c>
      <c r="AC225" s="534">
        <v>330.1</v>
      </c>
      <c r="AD225" t="s" s="535">
        <v>778</v>
      </c>
      <c r="AF225" t="s" s="88">
        <v>413</v>
      </c>
    </row>
    <row r="226" s="58" customFormat="1" ht="15" customHeight="1" hidden="1">
      <c r="Z226" t="s" s="88">
        <v>414</v>
      </c>
      <c r="AA226" t="s" s="533">
        <v>873</v>
      </c>
      <c r="AC226" s="534">
        <v>278</v>
      </c>
      <c r="AD226" t="s" s="535">
        <v>71</v>
      </c>
      <c r="AF226" t="s" s="88">
        <v>414</v>
      </c>
    </row>
    <row r="227" s="58" customFormat="1" ht="15" customHeight="1" hidden="1">
      <c r="Z227" t="s" s="88">
        <v>415</v>
      </c>
      <c r="AA227" t="s" s="533">
        <v>838</v>
      </c>
      <c r="AC227" s="534">
        <v>293.9</v>
      </c>
      <c r="AD227" t="s" s="535">
        <v>71</v>
      </c>
      <c r="AF227" t="s" s="88">
        <v>415</v>
      </c>
    </row>
    <row r="228" s="58" customFormat="1" ht="15" customHeight="1" hidden="1">
      <c r="Z228" t="s" s="88">
        <v>416</v>
      </c>
      <c r="AA228" t="s" s="533">
        <v>799</v>
      </c>
      <c r="AC228" s="534">
        <v>328.7</v>
      </c>
      <c r="AD228" t="s" s="535">
        <v>67</v>
      </c>
      <c r="AF228" t="s" s="88">
        <v>416</v>
      </c>
    </row>
    <row r="229" s="58" customFormat="1" ht="15" customHeight="1" hidden="1">
      <c r="Z229" t="s" s="88">
        <v>417</v>
      </c>
      <c r="AA229" t="s" s="533">
        <v>822</v>
      </c>
      <c r="AC229" s="534">
        <v>302.7</v>
      </c>
      <c r="AD229" t="s" s="535">
        <v>65</v>
      </c>
      <c r="AF229" t="s" s="88">
        <v>417</v>
      </c>
    </row>
    <row r="230" s="58" customFormat="1" ht="15" customHeight="1" hidden="1">
      <c r="Z230" t="s" s="88">
        <v>418</v>
      </c>
      <c r="AA230" t="s" s="533">
        <v>838</v>
      </c>
      <c r="AC230" s="534">
        <v>293.9</v>
      </c>
      <c r="AD230" t="s" s="535">
        <v>71</v>
      </c>
      <c r="AF230" t="s" s="88">
        <v>418</v>
      </c>
    </row>
    <row r="231" s="58" customFormat="1" ht="15" customHeight="1" hidden="1">
      <c r="Z231" t="s" s="88">
        <v>419</v>
      </c>
      <c r="AA231" t="s" s="533">
        <v>840</v>
      </c>
      <c r="AC231" s="534">
        <v>345.4</v>
      </c>
      <c r="AD231" t="s" s="535">
        <v>67</v>
      </c>
      <c r="AF231" t="s" s="88">
        <v>419</v>
      </c>
    </row>
    <row r="232" s="58" customFormat="1" ht="15" customHeight="1" hidden="1">
      <c r="Z232" t="s" s="88">
        <v>420</v>
      </c>
      <c r="AA232" t="s" s="533">
        <v>781</v>
      </c>
      <c r="AC232" s="534">
        <v>354.1</v>
      </c>
      <c r="AD232" t="s" s="535">
        <v>782</v>
      </c>
      <c r="AF232" t="s" s="88">
        <v>420</v>
      </c>
    </row>
    <row r="233" s="58" customFormat="1" ht="15" customHeight="1" hidden="1">
      <c r="Z233" t="s" s="88">
        <v>421</v>
      </c>
      <c r="AA233" t="s" s="533">
        <v>878</v>
      </c>
      <c r="AC233" s="534">
        <v>338.4</v>
      </c>
      <c r="AD233" t="s" s="535">
        <v>63</v>
      </c>
      <c r="AF233" t="s" s="88">
        <v>421</v>
      </c>
    </row>
    <row r="234" s="58" customFormat="1" ht="15" customHeight="1" hidden="1">
      <c r="Z234" t="s" s="88">
        <v>422</v>
      </c>
      <c r="AA234" t="s" s="533">
        <v>856</v>
      </c>
      <c r="AC234" s="534">
        <v>289.6</v>
      </c>
      <c r="AD234" t="s" s="535">
        <v>80</v>
      </c>
      <c r="AF234" t="s" s="88">
        <v>422</v>
      </c>
    </row>
    <row r="235" s="58" customFormat="1" ht="15" customHeight="1" hidden="1">
      <c r="Z235" t="s" s="88">
        <v>423</v>
      </c>
      <c r="AA235" t="s" s="533">
        <v>876</v>
      </c>
      <c r="AC235" s="534">
        <v>333.2</v>
      </c>
      <c r="AD235" t="s" s="535">
        <v>67</v>
      </c>
      <c r="AF235" t="s" s="88">
        <v>423</v>
      </c>
    </row>
    <row r="236" s="58" customFormat="1" ht="15" customHeight="1" hidden="1">
      <c r="Z236" t="s" s="88">
        <v>425</v>
      </c>
      <c r="AA236" t="s" s="533">
        <v>864</v>
      </c>
      <c r="AC236" s="534">
        <v>255.5</v>
      </c>
      <c r="AD236" t="s" s="535">
        <v>71</v>
      </c>
      <c r="AF236" t="s" s="88">
        <v>425</v>
      </c>
    </row>
    <row r="237" s="58" customFormat="1" ht="15" customHeight="1" hidden="1">
      <c r="Z237" t="s" s="88">
        <v>426</v>
      </c>
      <c r="AA237" t="s" s="533">
        <v>822</v>
      </c>
      <c r="AC237" s="534">
        <v>302.7</v>
      </c>
      <c r="AD237" t="s" s="535">
        <v>65</v>
      </c>
      <c r="AF237" t="s" s="88">
        <v>426</v>
      </c>
    </row>
    <row r="238" s="58" customFormat="1" ht="15" customHeight="1" hidden="1">
      <c r="Z238" t="s" s="88">
        <v>428</v>
      </c>
      <c r="AA238" t="s" s="533">
        <v>871</v>
      </c>
      <c r="AC238" s="534">
        <v>354.1</v>
      </c>
      <c r="AD238" t="s" s="535">
        <v>791</v>
      </c>
      <c r="AF238" t="s" s="88">
        <v>887</v>
      </c>
    </row>
    <row r="239" s="58" customFormat="1" ht="15" customHeight="1" hidden="1">
      <c r="Z239" t="s" s="88">
        <v>887</v>
      </c>
      <c r="AA239" t="s" s="533">
        <v>781</v>
      </c>
      <c r="AC239" s="534">
        <v>299.6</v>
      </c>
      <c r="AD239" t="s" s="535">
        <v>782</v>
      </c>
      <c r="AF239" t="s" s="88">
        <v>428</v>
      </c>
    </row>
    <row r="240" s="58" customFormat="1" ht="15" customHeight="1" hidden="1">
      <c r="Z240" t="s" s="88">
        <v>429</v>
      </c>
      <c r="AA240" t="s" s="533">
        <v>833</v>
      </c>
      <c r="AC240" s="534">
        <v>307.3</v>
      </c>
      <c r="AD240" t="s" s="535">
        <v>65</v>
      </c>
      <c r="AF240" t="s" s="88">
        <v>429</v>
      </c>
    </row>
    <row r="241" s="58" customFormat="1" ht="15" customHeight="1" hidden="1">
      <c r="Z241" t="s" s="88">
        <v>430</v>
      </c>
      <c r="AA241" t="s" s="533">
        <v>796</v>
      </c>
      <c r="AC241" s="534">
        <v>325.9</v>
      </c>
      <c r="AD241" t="s" s="535">
        <v>778</v>
      </c>
      <c r="AF241" t="s" s="88">
        <v>430</v>
      </c>
    </row>
    <row r="242" s="58" customFormat="1" ht="15" customHeight="1" hidden="1">
      <c r="Z242" t="s" s="88">
        <v>431</v>
      </c>
      <c r="AA242" t="s" s="533">
        <v>822</v>
      </c>
      <c r="AC242" s="534">
        <v>302.7</v>
      </c>
      <c r="AD242" t="s" s="535">
        <v>65</v>
      </c>
      <c r="AF242" t="s" s="88">
        <v>431</v>
      </c>
    </row>
    <row r="243" s="58" customFormat="1" ht="15" customHeight="1" hidden="1">
      <c r="Z243" t="s" s="88">
        <v>432</v>
      </c>
      <c r="AA243" t="s" s="533">
        <v>851</v>
      </c>
      <c r="AC243" s="534">
        <v>281.5</v>
      </c>
      <c r="AD243" t="s" s="535">
        <v>67</v>
      </c>
      <c r="AF243" t="s" s="88">
        <v>432</v>
      </c>
    </row>
    <row r="244" s="58" customFormat="1" ht="15" customHeight="1" hidden="1">
      <c r="Z244" t="s" s="88">
        <v>433</v>
      </c>
      <c r="AA244" t="s" s="533">
        <v>790</v>
      </c>
      <c r="AC244" s="534">
        <v>299.1</v>
      </c>
      <c r="AD244" t="s" s="535">
        <v>791</v>
      </c>
      <c r="AF244" t="s" s="88">
        <v>433</v>
      </c>
    </row>
    <row r="245" s="58" customFormat="1" ht="15" customHeight="1" hidden="1">
      <c r="Z245" t="s" s="88">
        <v>434</v>
      </c>
      <c r="AA245" t="s" s="533">
        <v>886</v>
      </c>
      <c r="AC245" s="534">
        <v>326.1</v>
      </c>
      <c r="AD245" t="s" s="535">
        <v>80</v>
      </c>
      <c r="AF245" t="s" s="88">
        <v>434</v>
      </c>
    </row>
    <row r="246" s="58" customFormat="1" ht="15" customHeight="1" hidden="1">
      <c r="Z246" t="s" s="88">
        <v>435</v>
      </c>
      <c r="AA246" t="s" s="533">
        <v>876</v>
      </c>
      <c r="AC246" s="534">
        <v>333.2</v>
      </c>
      <c r="AD246" t="s" s="535">
        <v>67</v>
      </c>
      <c r="AF246" t="s" s="88">
        <v>435</v>
      </c>
    </row>
    <row r="247" s="58" customFormat="1" ht="15" customHeight="1" hidden="1">
      <c r="Z247" t="s" s="88">
        <v>436</v>
      </c>
      <c r="AA247" t="s" s="533">
        <v>768</v>
      </c>
      <c r="AC247" s="534">
        <v>298</v>
      </c>
      <c r="AD247" t="s" s="535">
        <v>59</v>
      </c>
      <c r="AF247" t="s" s="88">
        <v>436</v>
      </c>
    </row>
    <row r="248" s="58" customFormat="1" ht="15" customHeight="1" hidden="1">
      <c r="Z248" t="s" s="88">
        <v>437</v>
      </c>
      <c r="AA248" t="s" s="533">
        <v>799</v>
      </c>
      <c r="AC248" s="534">
        <v>328.7</v>
      </c>
      <c r="AD248" t="s" s="535">
        <v>67</v>
      </c>
      <c r="AF248" t="s" s="88">
        <v>437</v>
      </c>
    </row>
    <row r="249" s="58" customFormat="1" ht="15" customHeight="1" hidden="1">
      <c r="Z249" t="s" s="88">
        <v>438</v>
      </c>
      <c r="AA249" t="s" s="533">
        <v>819</v>
      </c>
      <c r="AC249" s="534">
        <v>303.1</v>
      </c>
      <c r="AD249" t="s" s="535">
        <v>59</v>
      </c>
      <c r="AF249" t="s" s="88">
        <v>438</v>
      </c>
    </row>
    <row r="250" s="58" customFormat="1" ht="15" customHeight="1" hidden="1">
      <c r="Z250" t="s" s="88">
        <v>439</v>
      </c>
      <c r="AA250" t="s" s="533">
        <v>871</v>
      </c>
      <c r="AC250" s="534">
        <v>299.6</v>
      </c>
      <c r="AD250" t="s" s="535">
        <v>791</v>
      </c>
      <c r="AF250" t="s" s="88">
        <v>439</v>
      </c>
    </row>
    <row r="251" s="58" customFormat="1" ht="15" customHeight="1" hidden="1">
      <c r="Z251" t="s" s="88">
        <v>440</v>
      </c>
      <c r="AA251" t="s" s="533">
        <v>833</v>
      </c>
      <c r="AC251" s="534">
        <v>307.3</v>
      </c>
      <c r="AD251" t="s" s="535">
        <v>65</v>
      </c>
      <c r="AF251" t="s" s="88">
        <v>440</v>
      </c>
    </row>
    <row r="252" s="58" customFormat="1" ht="15" customHeight="1" hidden="1">
      <c r="Z252" t="s" s="88">
        <v>441</v>
      </c>
      <c r="AA252" t="s" s="533">
        <v>880</v>
      </c>
      <c r="AC252" s="534">
        <v>313.9</v>
      </c>
      <c r="AD252" t="s" s="535">
        <v>71</v>
      </c>
      <c r="AF252" t="s" s="88">
        <v>441</v>
      </c>
    </row>
    <row r="253" s="58" customFormat="1" ht="15" customHeight="1" hidden="1">
      <c r="Z253" t="s" s="88">
        <v>442</v>
      </c>
      <c r="AA253" t="s" s="533">
        <v>815</v>
      </c>
      <c r="AC253" s="534">
        <v>320.6</v>
      </c>
      <c r="AD253" t="s" s="535">
        <v>80</v>
      </c>
      <c r="AF253" t="s" s="88">
        <v>442</v>
      </c>
    </row>
    <row r="254" s="58" customFormat="1" ht="15" customHeight="1" hidden="1">
      <c r="Z254" t="s" s="88">
        <v>443</v>
      </c>
      <c r="AA254" t="s" s="533">
        <v>871</v>
      </c>
      <c r="AC254" s="534">
        <v>299.6</v>
      </c>
      <c r="AD254" t="s" s="535">
        <v>791</v>
      </c>
      <c r="AF254" t="s" s="88">
        <v>443</v>
      </c>
    </row>
    <row r="255" s="58" customFormat="1" ht="15" customHeight="1" hidden="1">
      <c r="Z255" t="s" s="88">
        <v>445</v>
      </c>
      <c r="AA255" t="s" s="533">
        <v>869</v>
      </c>
      <c r="AC255" s="534">
        <v>289.7</v>
      </c>
      <c r="AD255" t="s" s="535">
        <v>63</v>
      </c>
      <c r="AF255" t="s" s="88">
        <v>445</v>
      </c>
    </row>
    <row r="256" s="58" customFormat="1" ht="15" customHeight="1" hidden="1">
      <c r="Z256" t="s" s="88">
        <v>446</v>
      </c>
      <c r="AA256" t="s" s="533">
        <v>884</v>
      </c>
      <c r="AC256" s="534">
        <v>299.7</v>
      </c>
      <c r="AD256" t="s" s="535">
        <v>71</v>
      </c>
      <c r="AF256" t="s" s="88">
        <v>446</v>
      </c>
    </row>
    <row r="257" s="58" customFormat="1" ht="15" customHeight="1" hidden="1">
      <c r="Z257" t="s" s="88">
        <v>447</v>
      </c>
      <c r="AA257" t="s" s="533">
        <v>883</v>
      </c>
      <c r="AC257" s="534">
        <v>324.9</v>
      </c>
      <c r="AD257" t="s" s="535">
        <v>65</v>
      </c>
      <c r="AF257" t="s" s="88">
        <v>447</v>
      </c>
    </row>
    <row r="258" s="58" customFormat="1" ht="15" customHeight="1" hidden="1">
      <c r="Z258" t="s" s="88">
        <v>448</v>
      </c>
      <c r="AA258" t="s" s="533">
        <v>871</v>
      </c>
      <c r="AC258" s="534">
        <v>299.6</v>
      </c>
      <c r="AD258" t="s" s="535">
        <v>791</v>
      </c>
      <c r="AF258" t="s" s="88">
        <v>448</v>
      </c>
    </row>
    <row r="259" s="58" customFormat="1" ht="15" customHeight="1" hidden="1">
      <c r="Z259" t="s" s="88">
        <v>449</v>
      </c>
      <c r="AA259" t="s" s="533">
        <v>771</v>
      </c>
      <c r="AC259" s="534">
        <v>316.4</v>
      </c>
      <c r="AD259" t="s" s="535">
        <v>67</v>
      </c>
      <c r="AF259" t="s" s="88">
        <v>449</v>
      </c>
    </row>
    <row r="260" s="58" customFormat="1" ht="15" customHeight="1" hidden="1">
      <c r="Z260" t="s" s="88">
        <v>450</v>
      </c>
      <c r="AA260" t="s" s="533">
        <v>790</v>
      </c>
      <c r="AC260" s="534">
        <v>299.1</v>
      </c>
      <c r="AD260" t="s" s="535">
        <v>791</v>
      </c>
      <c r="AF260" t="s" s="88">
        <v>450</v>
      </c>
    </row>
    <row r="261" s="58" customFormat="1" ht="15" customHeight="1" hidden="1">
      <c r="Z261" t="s" s="88">
        <v>451</v>
      </c>
      <c r="AA261" t="s" s="533">
        <v>771</v>
      </c>
      <c r="AC261" s="534">
        <v>316.4</v>
      </c>
      <c r="AD261" t="s" s="535">
        <v>67</v>
      </c>
      <c r="AF261" t="s" s="88">
        <v>451</v>
      </c>
    </row>
    <row r="262" s="58" customFormat="1" ht="15" customHeight="1" hidden="1">
      <c r="Z262" t="s" s="88">
        <v>453</v>
      </c>
      <c r="AA262" t="s" s="533">
        <v>849</v>
      </c>
      <c r="AC262" s="534">
        <v>295.4</v>
      </c>
      <c r="AD262" t="s" s="535">
        <v>80</v>
      </c>
      <c r="AF262" t="s" s="88">
        <v>453</v>
      </c>
    </row>
    <row r="263" s="58" customFormat="1" ht="15" customHeight="1" hidden="1">
      <c r="Z263" t="s" s="88">
        <v>454</v>
      </c>
      <c r="AA263" t="s" s="533">
        <v>840</v>
      </c>
      <c r="AC263" s="534">
        <v>345.4</v>
      </c>
      <c r="AD263" t="s" s="535">
        <v>67</v>
      </c>
      <c r="AF263" t="s" s="88">
        <v>454</v>
      </c>
    </row>
    <row r="264" s="58" customFormat="1" ht="15" customHeight="1" hidden="1">
      <c r="Z264" t="s" s="88">
        <v>455</v>
      </c>
      <c r="AA264" t="s" s="533">
        <v>815</v>
      </c>
      <c r="AC264" s="534">
        <v>320.6</v>
      </c>
      <c r="AD264" t="s" s="535">
        <v>80</v>
      </c>
      <c r="AF264" t="s" s="88">
        <v>455</v>
      </c>
    </row>
    <row r="265" s="58" customFormat="1" ht="15" customHeight="1" hidden="1">
      <c r="Z265" t="s" s="88">
        <v>457</v>
      </c>
      <c r="AA265" t="s" s="533">
        <v>807</v>
      </c>
      <c r="AC265" s="534">
        <v>343.7</v>
      </c>
      <c r="AD265" t="s" s="535">
        <v>778</v>
      </c>
      <c r="AF265" t="s" s="88">
        <v>457</v>
      </c>
    </row>
    <row r="266" s="58" customFormat="1" ht="15" customHeight="1" hidden="1">
      <c r="Z266" t="s" s="88">
        <v>458</v>
      </c>
      <c r="AA266" t="s" s="533">
        <v>774</v>
      </c>
      <c r="AC266" s="534">
        <v>328.3</v>
      </c>
      <c r="AD266" t="s" s="535">
        <v>67</v>
      </c>
      <c r="AF266" t="s" s="88">
        <v>458</v>
      </c>
    </row>
    <row r="267" s="58" customFormat="1" ht="15" customHeight="1" hidden="1">
      <c r="Z267" t="s" s="88">
        <v>459</v>
      </c>
      <c r="AA267" t="s" s="533">
        <v>860</v>
      </c>
      <c r="AC267" s="534">
        <v>330.1</v>
      </c>
      <c r="AD267" t="s" s="535">
        <v>778</v>
      </c>
      <c r="AF267" t="s" s="88">
        <v>459</v>
      </c>
    </row>
    <row r="268" s="58" customFormat="1" ht="15" customHeight="1" hidden="1">
      <c r="Z268" t="s" s="88">
        <v>460</v>
      </c>
      <c r="AA268" t="s" s="533">
        <v>765</v>
      </c>
      <c r="AC268" s="534">
        <v>321.1</v>
      </c>
      <c r="AD268" t="s" s="535">
        <v>59</v>
      </c>
      <c r="AF268" t="s" s="88">
        <v>460</v>
      </c>
    </row>
    <row r="269" s="58" customFormat="1" ht="15" customHeight="1" hidden="1">
      <c r="Z269" t="s" s="88">
        <v>461</v>
      </c>
      <c r="AA269" t="s" s="533">
        <v>804</v>
      </c>
      <c r="AC269" s="534">
        <v>321.2</v>
      </c>
      <c r="AD269" t="s" s="535">
        <v>71</v>
      </c>
      <c r="AF269" t="s" s="88">
        <v>461</v>
      </c>
    </row>
    <row r="270" s="58" customFormat="1" ht="15" customHeight="1" hidden="1">
      <c r="Z270" t="s" s="88">
        <v>462</v>
      </c>
      <c r="AA270" t="s" s="533">
        <v>873</v>
      </c>
      <c r="AC270" s="534">
        <v>278</v>
      </c>
      <c r="AD270" t="s" s="535">
        <v>71</v>
      </c>
      <c r="AF270" t="s" s="88">
        <v>462</v>
      </c>
    </row>
    <row r="271" s="58" customFormat="1" ht="15" customHeight="1" hidden="1">
      <c r="Z271" t="s" s="88">
        <v>463</v>
      </c>
      <c r="AA271" t="s" s="533">
        <v>836</v>
      </c>
      <c r="AC271" s="534">
        <v>286.7</v>
      </c>
      <c r="AD271" t="s" s="535">
        <v>59</v>
      </c>
      <c r="AF271" t="s" s="88">
        <v>463</v>
      </c>
    </row>
    <row r="272" s="58" customFormat="1" ht="15" customHeight="1" hidden="1">
      <c r="Z272" t="s" s="88">
        <v>464</v>
      </c>
      <c r="AA272" t="s" s="533">
        <v>836</v>
      </c>
      <c r="AC272" s="534">
        <v>286.7</v>
      </c>
      <c r="AD272" t="s" s="535">
        <v>59</v>
      </c>
      <c r="AF272" t="s" s="88">
        <v>464</v>
      </c>
    </row>
    <row r="273" s="58" customFormat="1" ht="15" customHeight="1" hidden="1">
      <c r="Z273" t="s" s="88">
        <v>465</v>
      </c>
      <c r="AA273" t="s" s="533">
        <v>761</v>
      </c>
      <c r="AC273" s="534">
        <v>323.7</v>
      </c>
      <c r="AD273" t="s" s="535">
        <v>65</v>
      </c>
      <c r="AF273" t="s" s="88">
        <v>465</v>
      </c>
    </row>
    <row r="274" s="58" customFormat="1" ht="15" customHeight="1" hidden="1">
      <c r="Z274" t="s" s="88">
        <v>467</v>
      </c>
      <c r="AA274" t="s" s="533">
        <v>845</v>
      </c>
      <c r="AC274" s="534">
        <v>302.5</v>
      </c>
      <c r="AD274" t="s" s="535">
        <v>778</v>
      </c>
      <c r="AF274" t="s" s="88">
        <v>467</v>
      </c>
    </row>
    <row r="275" s="58" customFormat="1" ht="15" customHeight="1" hidden="1">
      <c r="Z275" t="s" s="88">
        <v>468</v>
      </c>
      <c r="AA275" t="s" s="533">
        <v>870</v>
      </c>
      <c r="AC275" s="534">
        <v>328.5</v>
      </c>
      <c r="AD275" t="s" s="535">
        <v>59</v>
      </c>
      <c r="AF275" t="s" s="88">
        <v>468</v>
      </c>
    </row>
    <row r="276" s="58" customFormat="1" ht="15" customHeight="1" hidden="1">
      <c r="Z276" t="s" s="88">
        <v>469</v>
      </c>
      <c r="AA276" t="s" s="533">
        <v>867</v>
      </c>
      <c r="AC276" s="534">
        <v>323.8</v>
      </c>
      <c r="AD276" t="s" s="535">
        <v>67</v>
      </c>
      <c r="AF276" t="s" s="88">
        <v>469</v>
      </c>
    </row>
    <row r="277" s="58" customFormat="1" ht="15" customHeight="1" hidden="1">
      <c r="Z277" t="s" s="88">
        <v>470</v>
      </c>
      <c r="AA277" t="s" s="533">
        <v>822</v>
      </c>
      <c r="AC277" s="534">
        <v>302.7</v>
      </c>
      <c r="AD277" t="s" s="535">
        <v>65</v>
      </c>
      <c r="AF277" t="s" s="88">
        <v>470</v>
      </c>
    </row>
    <row r="278" s="58" customFormat="1" ht="15" customHeight="1" hidden="1">
      <c r="Z278" t="s" s="88">
        <v>471</v>
      </c>
      <c r="AA278" t="s" s="533">
        <v>849</v>
      </c>
      <c r="AC278" s="534">
        <v>295.4</v>
      </c>
      <c r="AD278" t="s" s="535">
        <v>80</v>
      </c>
      <c r="AF278" t="s" s="88">
        <v>471</v>
      </c>
    </row>
    <row r="279" s="58" customFormat="1" ht="15" customHeight="1" hidden="1">
      <c r="Z279" t="s" s="88">
        <v>472</v>
      </c>
      <c r="AA279" t="s" s="533">
        <v>884</v>
      </c>
      <c r="AC279" s="534">
        <v>299.7</v>
      </c>
      <c r="AD279" t="s" s="535">
        <v>71</v>
      </c>
      <c r="AF279" t="s" s="88">
        <v>472</v>
      </c>
    </row>
    <row r="280" s="58" customFormat="1" ht="15" customHeight="1" hidden="1">
      <c r="Z280" t="s" s="88">
        <v>473</v>
      </c>
      <c r="AA280" t="s" s="533">
        <v>863</v>
      </c>
      <c r="AC280" s="534">
        <v>296.2</v>
      </c>
      <c r="AD280" t="s" s="535">
        <v>80</v>
      </c>
      <c r="AF280" t="s" s="88">
        <v>473</v>
      </c>
    </row>
    <row r="281" s="58" customFormat="1" ht="15" customHeight="1" hidden="1">
      <c r="Z281" t="s" s="88">
        <v>474</v>
      </c>
      <c r="AA281" t="s" s="533">
        <v>877</v>
      </c>
      <c r="AC281" s="534">
        <v>307.9</v>
      </c>
      <c r="AD281" t="s" s="535">
        <v>63</v>
      </c>
      <c r="AF281" t="s" s="88">
        <v>474</v>
      </c>
    </row>
    <row r="282" s="58" customFormat="1" ht="15" customHeight="1" hidden="1">
      <c r="Z282" t="s" s="88">
        <v>475</v>
      </c>
      <c r="AA282" t="s" s="533">
        <v>799</v>
      </c>
      <c r="AC282" s="534">
        <v>328.7</v>
      </c>
      <c r="AD282" t="s" s="535">
        <v>67</v>
      </c>
      <c r="AF282" t="s" s="88">
        <v>475</v>
      </c>
    </row>
    <row r="283" s="58" customFormat="1" ht="15" customHeight="1" hidden="1">
      <c r="Z283" t="s" s="88">
        <v>476</v>
      </c>
      <c r="AA283" t="s" s="533">
        <v>796</v>
      </c>
      <c r="AC283" s="534">
        <v>325.9</v>
      </c>
      <c r="AD283" t="s" s="535">
        <v>778</v>
      </c>
      <c r="AF283" t="s" s="88">
        <v>476</v>
      </c>
    </row>
    <row r="284" s="58" customFormat="1" ht="15" customHeight="1" hidden="1">
      <c r="Z284" t="s" s="88">
        <v>477</v>
      </c>
      <c r="AA284" t="s" s="533">
        <v>861</v>
      </c>
      <c r="AC284" s="534">
        <v>354.1</v>
      </c>
      <c r="AD284" t="s" s="535">
        <v>862</v>
      </c>
      <c r="AF284" t="s" s="88">
        <v>477</v>
      </c>
    </row>
    <row r="285" s="58" customFormat="1" ht="15" customHeight="1" hidden="1">
      <c r="Z285" t="s" s="88">
        <v>478</v>
      </c>
      <c r="AA285" t="s" s="533">
        <v>876</v>
      </c>
      <c r="AC285" s="534">
        <v>333.2</v>
      </c>
      <c r="AD285" t="s" s="535">
        <v>67</v>
      </c>
      <c r="AF285" t="s" s="88">
        <v>478</v>
      </c>
    </row>
    <row r="286" s="58" customFormat="1" ht="15" customHeight="1" hidden="1">
      <c r="Z286" t="s" s="88">
        <v>479</v>
      </c>
      <c r="AA286" t="s" s="533">
        <v>858</v>
      </c>
      <c r="AC286" s="534">
        <v>343.7</v>
      </c>
      <c r="AD286" t="s" s="535">
        <v>778</v>
      </c>
      <c r="AF286" t="s" s="88">
        <v>479</v>
      </c>
    </row>
    <row r="287" s="58" customFormat="1" ht="15" customHeight="1" hidden="1">
      <c r="Z287" t="s" s="88">
        <v>480</v>
      </c>
      <c r="AA287" t="s" s="533">
        <v>777</v>
      </c>
      <c r="AC287" s="534">
        <v>304.3</v>
      </c>
      <c r="AD287" t="s" s="535">
        <v>778</v>
      </c>
      <c r="AF287" t="s" s="88">
        <v>480</v>
      </c>
    </row>
    <row r="288" s="58" customFormat="1" ht="15" customHeight="1" hidden="1">
      <c r="Z288" t="s" s="88">
        <v>481</v>
      </c>
      <c r="AA288" t="s" s="533">
        <v>883</v>
      </c>
      <c r="AC288" s="534">
        <v>324.9</v>
      </c>
      <c r="AD288" t="s" s="535">
        <v>65</v>
      </c>
      <c r="AF288" t="s" s="88">
        <v>481</v>
      </c>
    </row>
    <row r="289" s="58" customFormat="1" ht="15" customHeight="1" hidden="1">
      <c r="Z289" t="s" s="88">
        <v>482</v>
      </c>
      <c r="AA289" t="s" s="533">
        <v>863</v>
      </c>
      <c r="AC289" s="534">
        <v>296.2</v>
      </c>
      <c r="AD289" t="s" s="535">
        <v>80</v>
      </c>
      <c r="AF289" t="s" s="88">
        <v>482</v>
      </c>
    </row>
    <row r="290" s="58" customFormat="1" ht="15" customHeight="1" hidden="1">
      <c r="Z290" t="s" s="88">
        <v>483</v>
      </c>
      <c r="AA290" t="s" s="533">
        <v>863</v>
      </c>
      <c r="AC290" s="534">
        <v>296.2</v>
      </c>
      <c r="AD290" t="s" s="535">
        <v>80</v>
      </c>
      <c r="AF290" t="s" s="88">
        <v>483</v>
      </c>
    </row>
    <row r="291" s="58" customFormat="1" ht="15" customHeight="1" hidden="1">
      <c r="Z291" t="s" s="88">
        <v>484</v>
      </c>
      <c r="AA291" t="s" s="533">
        <v>858</v>
      </c>
      <c r="AC291" s="534">
        <v>343.7</v>
      </c>
      <c r="AD291" t="s" s="535">
        <v>778</v>
      </c>
      <c r="AF291" t="s" s="88">
        <v>484</v>
      </c>
    </row>
    <row r="292" s="58" customFormat="1" ht="15" customHeight="1" hidden="1">
      <c r="Z292" t="s" s="182">
        <v>486</v>
      </c>
      <c r="AA292" t="s" s="606">
        <v>833</v>
      </c>
      <c r="AC292" s="534">
        <v>307.3</v>
      </c>
      <c r="AD292" t="s" s="535">
        <v>65</v>
      </c>
      <c r="AF292" t="s" s="182">
        <v>486</v>
      </c>
    </row>
    <row r="293" s="58" customFormat="1" ht="15" customHeight="1" hidden="1">
      <c r="Z293" t="s" s="88">
        <v>888</v>
      </c>
      <c r="AA293" t="s" s="533">
        <v>878</v>
      </c>
      <c r="AC293" s="534">
        <v>338.4</v>
      </c>
      <c r="AD293" t="s" s="535">
        <v>63</v>
      </c>
      <c r="AF293" t="s" s="88">
        <v>888</v>
      </c>
    </row>
    <row r="294" s="58" customFormat="1" ht="15" customHeight="1" hidden="1">
      <c r="Z294" t="s" s="88">
        <v>488</v>
      </c>
      <c r="AA294" t="s" s="533">
        <v>863</v>
      </c>
      <c r="AC294" s="534">
        <v>296.2</v>
      </c>
      <c r="AD294" t="s" s="535">
        <v>80</v>
      </c>
      <c r="AF294" t="s" s="88">
        <v>488</v>
      </c>
    </row>
    <row r="295" s="58" customFormat="1" ht="15" customHeight="1" hidden="1">
      <c r="Z295" t="s" s="88">
        <v>889</v>
      </c>
      <c r="AA295" t="s" s="533">
        <v>886</v>
      </c>
      <c r="AC295" s="534">
        <v>326.1</v>
      </c>
      <c r="AD295" t="s" s="535">
        <v>80</v>
      </c>
      <c r="AF295" t="s" s="88">
        <v>889</v>
      </c>
    </row>
    <row r="296" s="58" customFormat="1" ht="15" customHeight="1" hidden="1">
      <c r="Z296" t="s" s="88">
        <v>490</v>
      </c>
      <c r="AA296" t="s" s="533">
        <v>866</v>
      </c>
      <c r="AC296" s="534">
        <v>308</v>
      </c>
      <c r="AD296" t="s" s="535">
        <v>71</v>
      </c>
      <c r="AF296" t="s" s="88">
        <v>490</v>
      </c>
    </row>
    <row r="297" s="58" customFormat="1" ht="15" customHeight="1" hidden="1">
      <c r="Z297" t="s" s="88">
        <v>491</v>
      </c>
      <c r="AA297" t="s" s="533">
        <v>777</v>
      </c>
      <c r="AC297" s="534">
        <v>304.3</v>
      </c>
      <c r="AD297" t="s" s="535">
        <v>778</v>
      </c>
      <c r="AF297" t="s" s="88">
        <v>491</v>
      </c>
    </row>
    <row r="298" s="58" customFormat="1" ht="15" customHeight="1" hidden="1">
      <c r="Z298" t="s" s="88">
        <v>492</v>
      </c>
      <c r="AA298" t="s" s="533">
        <v>877</v>
      </c>
      <c r="AC298" s="534">
        <v>307.9</v>
      </c>
      <c r="AD298" t="s" s="535">
        <v>63</v>
      </c>
      <c r="AF298" t="s" s="88">
        <v>492</v>
      </c>
    </row>
    <row r="299" s="58" customFormat="1" ht="15" customHeight="1" hidden="1">
      <c r="Z299" t="s" s="88">
        <v>493</v>
      </c>
      <c r="AA299" t="s" s="533">
        <v>876</v>
      </c>
      <c r="AC299" s="534">
        <v>333.2</v>
      </c>
      <c r="AD299" t="s" s="535">
        <v>67</v>
      </c>
      <c r="AF299" t="s" s="88">
        <v>493</v>
      </c>
    </row>
    <row r="300" s="58" customFormat="1" ht="15" customHeight="1" hidden="1">
      <c r="Z300" t="s" s="88">
        <v>494</v>
      </c>
      <c r="AA300" t="s" s="533">
        <v>781</v>
      </c>
      <c r="AC300" s="534">
        <v>354.1</v>
      </c>
      <c r="AD300" t="s" s="535">
        <v>782</v>
      </c>
      <c r="AF300" t="s" s="88">
        <v>494</v>
      </c>
    </row>
    <row r="301" s="58" customFormat="1" ht="15" customHeight="1" hidden="1">
      <c r="Z301" t="s" s="88">
        <v>495</v>
      </c>
      <c r="AA301" t="s" s="533">
        <v>771</v>
      </c>
      <c r="AC301" s="534">
        <v>316.4</v>
      </c>
      <c r="AD301" t="s" s="535">
        <v>67</v>
      </c>
      <c r="AF301" t="s" s="88">
        <v>495</v>
      </c>
    </row>
    <row r="302" s="58" customFormat="1" ht="15" customHeight="1" hidden="1">
      <c r="Z302" t="s" s="88">
        <v>496</v>
      </c>
      <c r="AA302" t="s" s="533">
        <v>880</v>
      </c>
      <c r="AC302" s="534">
        <v>313.9</v>
      </c>
      <c r="AD302" t="s" s="535">
        <v>71</v>
      </c>
      <c r="AF302" t="s" s="88">
        <v>496</v>
      </c>
    </row>
    <row r="303" s="58" customFormat="1" ht="15" customHeight="1" hidden="1">
      <c r="Z303" t="s" s="88">
        <v>497</v>
      </c>
      <c r="AA303" t="s" s="533">
        <v>833</v>
      </c>
      <c r="AC303" s="534">
        <v>307.3</v>
      </c>
      <c r="AD303" t="s" s="535">
        <v>65</v>
      </c>
      <c r="AF303" t="s" s="88">
        <v>497</v>
      </c>
    </row>
    <row r="304" s="58" customFormat="1" ht="15" customHeight="1" hidden="1">
      <c r="Z304" t="s" s="88">
        <v>498</v>
      </c>
      <c r="AA304" t="s" s="533">
        <v>863</v>
      </c>
      <c r="AC304" s="534">
        <v>296.2</v>
      </c>
      <c r="AD304" t="s" s="535">
        <v>80</v>
      </c>
      <c r="AF304" t="s" s="88">
        <v>498</v>
      </c>
    </row>
    <row r="305" s="58" customFormat="1" ht="15" customHeight="1" hidden="1">
      <c r="Z305" t="s" s="88">
        <v>499</v>
      </c>
      <c r="AA305" t="s" s="533">
        <v>876</v>
      </c>
      <c r="AC305" s="534">
        <v>333.2</v>
      </c>
      <c r="AD305" t="s" s="535">
        <v>67</v>
      </c>
      <c r="AF305" t="s" s="88">
        <v>499</v>
      </c>
    </row>
    <row r="306" s="58" customFormat="1" ht="15" customHeight="1" hidden="1">
      <c r="Z306" t="s" s="88">
        <v>500</v>
      </c>
      <c r="AA306" t="s" s="533">
        <v>884</v>
      </c>
      <c r="AC306" s="534">
        <v>299.7</v>
      </c>
      <c r="AD306" t="s" s="535">
        <v>71</v>
      </c>
      <c r="AF306" t="s" s="88">
        <v>500</v>
      </c>
    </row>
    <row r="307" s="58" customFormat="1" ht="15" customHeight="1" hidden="1">
      <c r="Z307" t="s" s="88">
        <v>501</v>
      </c>
      <c r="AA307" t="s" s="533">
        <v>869</v>
      </c>
      <c r="AC307" s="534">
        <v>289.7</v>
      </c>
      <c r="AD307" t="s" s="535">
        <v>63</v>
      </c>
      <c r="AF307" t="s" s="88">
        <v>501</v>
      </c>
    </row>
    <row r="308" s="58" customFormat="1" ht="15" customHeight="1" hidden="1">
      <c r="Z308" t="s" s="88">
        <v>502</v>
      </c>
      <c r="AA308" t="s" s="533">
        <v>873</v>
      </c>
      <c r="AC308" s="534">
        <v>278</v>
      </c>
      <c r="AD308" t="s" s="535">
        <v>71</v>
      </c>
      <c r="AF308" t="s" s="88">
        <v>502</v>
      </c>
    </row>
    <row r="309" s="58" customFormat="1" ht="15" customHeight="1" hidden="1">
      <c r="Z309" t="s" s="88">
        <v>503</v>
      </c>
      <c r="AA309" t="s" s="533">
        <v>796</v>
      </c>
      <c r="AC309" s="534">
        <v>325.9</v>
      </c>
      <c r="AD309" t="s" s="535">
        <v>778</v>
      </c>
      <c r="AF309" t="s" s="88">
        <v>503</v>
      </c>
    </row>
    <row r="310" s="58" customFormat="1" ht="15" customHeight="1" hidden="1">
      <c r="Z310" t="s" s="88">
        <v>504</v>
      </c>
      <c r="AA310" t="s" s="533">
        <v>799</v>
      </c>
      <c r="AC310" s="534">
        <v>328.7</v>
      </c>
      <c r="AD310" t="s" s="535">
        <v>67</v>
      </c>
      <c r="AF310" t="s" s="88">
        <v>504</v>
      </c>
    </row>
    <row r="311" s="58" customFormat="1" ht="15" customHeight="1" hidden="1">
      <c r="Z311" t="s" s="88">
        <v>505</v>
      </c>
      <c r="AA311" t="s" s="533">
        <v>866</v>
      </c>
      <c r="AC311" s="534">
        <v>308</v>
      </c>
      <c r="AD311" t="s" s="535">
        <v>71</v>
      </c>
      <c r="AF311" t="s" s="88">
        <v>505</v>
      </c>
    </row>
    <row r="312" s="58" customFormat="1" ht="15" customHeight="1" hidden="1">
      <c r="Z312" t="s" s="88">
        <v>506</v>
      </c>
      <c r="AA312" t="s" s="533">
        <v>771</v>
      </c>
      <c r="AC312" s="534">
        <v>316.4</v>
      </c>
      <c r="AD312" t="s" s="535">
        <v>67</v>
      </c>
      <c r="AF312" t="s" s="88">
        <v>506</v>
      </c>
    </row>
    <row r="313" s="58" customFormat="1" ht="15" customHeight="1" hidden="1">
      <c r="Z313" t="s" s="88">
        <v>507</v>
      </c>
      <c r="AA313" t="s" s="533">
        <v>771</v>
      </c>
      <c r="AC313" s="534">
        <v>316.4</v>
      </c>
      <c r="AD313" t="s" s="535">
        <v>67</v>
      </c>
      <c r="AF313" t="s" s="88">
        <v>507</v>
      </c>
    </row>
    <row r="314" s="58" customFormat="1" ht="15" customHeight="1" hidden="1">
      <c r="Z314" t="s" s="88">
        <v>508</v>
      </c>
      <c r="AA314" t="s" s="533">
        <v>849</v>
      </c>
      <c r="AC314" s="534">
        <v>295.4</v>
      </c>
      <c r="AD314" t="s" s="535">
        <v>80</v>
      </c>
      <c r="AF314" t="s" s="88">
        <v>508</v>
      </c>
    </row>
    <row r="315" s="58" customFormat="1" ht="15" customHeight="1" hidden="1">
      <c r="Z315" t="s" s="88">
        <v>509</v>
      </c>
      <c r="AA315" t="s" s="533">
        <v>858</v>
      </c>
      <c r="AC315" s="534">
        <v>343.7</v>
      </c>
      <c r="AD315" t="s" s="535">
        <v>778</v>
      </c>
      <c r="AF315" t="s" s="88">
        <v>509</v>
      </c>
    </row>
    <row r="316" s="58" customFormat="1" ht="15" customHeight="1" hidden="1">
      <c r="Z316" t="s" s="88">
        <v>510</v>
      </c>
      <c r="AA316" t="s" s="533">
        <v>796</v>
      </c>
      <c r="AC316" s="534">
        <v>325.9</v>
      </c>
      <c r="AD316" t="s" s="535">
        <v>778</v>
      </c>
      <c r="AF316" t="s" s="88">
        <v>510</v>
      </c>
    </row>
    <row r="317" s="58" customFormat="1" ht="15" customHeight="1" hidden="1">
      <c r="Z317" t="s" s="88">
        <v>511</v>
      </c>
      <c r="AA317" t="s" s="533">
        <v>771</v>
      </c>
      <c r="AC317" s="534">
        <v>316.4</v>
      </c>
      <c r="AD317" t="s" s="535">
        <v>67</v>
      </c>
      <c r="AF317" t="s" s="88">
        <v>511</v>
      </c>
    </row>
    <row r="318" s="58" customFormat="1" ht="15" customHeight="1" hidden="1">
      <c r="Z318" t="s" s="88">
        <v>512</v>
      </c>
      <c r="AA318" t="s" s="533">
        <v>873</v>
      </c>
      <c r="AC318" s="534">
        <v>278</v>
      </c>
      <c r="AD318" t="s" s="535">
        <v>71</v>
      </c>
      <c r="AF318" t="s" s="88">
        <v>512</v>
      </c>
    </row>
    <row r="319" s="58" customFormat="1" ht="15" customHeight="1" hidden="1">
      <c r="Z319" t="s" s="88">
        <v>513</v>
      </c>
      <c r="AA319" t="s" s="533">
        <v>873</v>
      </c>
      <c r="AC319" s="534">
        <v>278</v>
      </c>
      <c r="AD319" t="s" s="535">
        <v>71</v>
      </c>
      <c r="AF319" t="s" s="88">
        <v>513</v>
      </c>
    </row>
    <row r="320" s="58" customFormat="1" ht="15" customHeight="1" hidden="1">
      <c r="Z320" t="s" s="88">
        <v>514</v>
      </c>
      <c r="AA320" t="s" s="533">
        <v>861</v>
      </c>
      <c r="AC320" s="534">
        <v>354.1</v>
      </c>
      <c r="AD320" t="s" s="535">
        <v>862</v>
      </c>
      <c r="AF320" t="s" s="88">
        <v>514</v>
      </c>
    </row>
    <row r="321" s="58" customFormat="1" ht="15" customHeight="1" hidden="1">
      <c r="Z321" t="s" s="88">
        <v>515</v>
      </c>
      <c r="AA321" t="s" s="533">
        <v>833</v>
      </c>
      <c r="AC321" s="534">
        <v>307.3</v>
      </c>
      <c r="AD321" t="s" s="535">
        <v>65</v>
      </c>
      <c r="AF321" t="s" s="88">
        <v>515</v>
      </c>
    </row>
    <row r="322" s="58" customFormat="1" ht="15" customHeight="1" hidden="1">
      <c r="Z322" t="s" s="88">
        <v>516</v>
      </c>
      <c r="AA322" t="s" s="533">
        <v>771</v>
      </c>
      <c r="AC322" s="534">
        <v>316.4</v>
      </c>
      <c r="AD322" t="s" s="535">
        <v>67</v>
      </c>
      <c r="AF322" t="s" s="88">
        <v>516</v>
      </c>
    </row>
    <row r="323" s="58" customFormat="1" ht="15" customHeight="1" hidden="1">
      <c r="Z323" t="s" s="88">
        <v>517</v>
      </c>
      <c r="AA323" t="s" s="533">
        <v>763</v>
      </c>
      <c r="AC323" s="534">
        <v>276.1</v>
      </c>
      <c r="AD323" t="s" s="535">
        <v>63</v>
      </c>
      <c r="AF323" t="s" s="88">
        <v>517</v>
      </c>
    </row>
    <row r="324" s="58" customFormat="1" ht="15" customHeight="1" hidden="1">
      <c r="Z324" t="s" s="88">
        <v>518</v>
      </c>
      <c r="AA324" t="s" s="533">
        <v>796</v>
      </c>
      <c r="AC324" s="534">
        <v>325.9</v>
      </c>
      <c r="AD324" t="s" s="535">
        <v>778</v>
      </c>
      <c r="AF324" t="s" s="88">
        <v>518</v>
      </c>
    </row>
    <row r="325" s="58" customFormat="1" ht="15" customHeight="1" hidden="1">
      <c r="Z325" t="s" s="88">
        <v>519</v>
      </c>
      <c r="AA325" t="s" s="533">
        <v>867</v>
      </c>
      <c r="AC325" s="534">
        <v>323.8</v>
      </c>
      <c r="AD325" t="s" s="535">
        <v>67</v>
      </c>
      <c r="AF325" t="s" s="88">
        <v>519</v>
      </c>
    </row>
    <row r="326" s="58" customFormat="1" ht="15" customHeight="1" hidden="1">
      <c r="Z326" t="s" s="88">
        <v>520</v>
      </c>
      <c r="AA326" t="s" s="533">
        <v>868</v>
      </c>
      <c r="AC326" s="534">
        <v>322</v>
      </c>
      <c r="AD326" t="s" s="535">
        <v>65</v>
      </c>
      <c r="AF326" t="s" s="88">
        <v>520</v>
      </c>
    </row>
    <row r="327" s="58" customFormat="1" ht="15" customHeight="1" hidden="1">
      <c r="Z327" t="s" s="88">
        <v>521</v>
      </c>
      <c r="AA327" t="s" s="533">
        <v>842</v>
      </c>
      <c r="AC327" s="534">
        <v>302.7</v>
      </c>
      <c r="AD327" t="s" s="535">
        <v>791</v>
      </c>
      <c r="AF327" t="s" s="88">
        <v>521</v>
      </c>
    </row>
    <row r="328" s="58" customFormat="1" ht="15" customHeight="1" hidden="1">
      <c r="Z328" t="s" s="88">
        <v>522</v>
      </c>
      <c r="AA328" t="s" s="533">
        <v>815</v>
      </c>
      <c r="AC328" s="534">
        <v>320.6</v>
      </c>
      <c r="AD328" t="s" s="535">
        <v>80</v>
      </c>
      <c r="AF328" t="s" s="88">
        <v>522</v>
      </c>
    </row>
    <row r="329" s="58" customFormat="1" ht="15" customHeight="1" hidden="1">
      <c r="Z329" t="s" s="88">
        <v>523</v>
      </c>
      <c r="AA329" t="s" s="533">
        <v>781</v>
      </c>
      <c r="AC329" s="534">
        <v>354.1</v>
      </c>
      <c r="AD329" t="s" s="535">
        <v>782</v>
      </c>
      <c r="AF329" t="s" s="88">
        <v>523</v>
      </c>
    </row>
    <row r="330" s="58" customFormat="1" ht="15" customHeight="1" hidden="1">
      <c r="Z330" t="s" s="88">
        <v>524</v>
      </c>
      <c r="AA330" t="s" s="533">
        <v>861</v>
      </c>
      <c r="AC330" s="534">
        <v>354.1</v>
      </c>
      <c r="AD330" t="s" s="535">
        <v>862</v>
      </c>
      <c r="AF330" t="s" s="88">
        <v>524</v>
      </c>
    </row>
    <row r="331" s="58" customFormat="1" ht="15" customHeight="1" hidden="1">
      <c r="Z331" t="s" s="88">
        <v>525</v>
      </c>
      <c r="AA331" t="s" s="533">
        <v>763</v>
      </c>
      <c r="AC331" s="534">
        <v>276.1</v>
      </c>
      <c r="AD331" t="s" s="535">
        <v>63</v>
      </c>
      <c r="AF331" t="s" s="88">
        <v>525</v>
      </c>
    </row>
    <row r="332" s="58" customFormat="1" ht="15" customHeight="1" hidden="1">
      <c r="Z332" t="s" s="88">
        <v>526</v>
      </c>
      <c r="AA332" t="s" s="533">
        <v>868</v>
      </c>
      <c r="AC332" s="534">
        <v>322</v>
      </c>
      <c r="AD332" t="s" s="535">
        <v>65</v>
      </c>
      <c r="AF332" t="s" s="88">
        <v>526</v>
      </c>
    </row>
    <row r="333" s="58" customFormat="1" ht="15" customHeight="1" hidden="1">
      <c r="Z333" t="s" s="88">
        <v>527</v>
      </c>
      <c r="AA333" t="s" s="533">
        <v>886</v>
      </c>
      <c r="AC333" s="534">
        <v>326.1</v>
      </c>
      <c r="AD333" t="s" s="535">
        <v>80</v>
      </c>
      <c r="AF333" t="s" s="88">
        <v>527</v>
      </c>
    </row>
    <row r="334" s="58" customFormat="1" ht="15" customHeight="1" hidden="1">
      <c r="Z334" t="s" s="88">
        <v>528</v>
      </c>
      <c r="AA334" t="s" s="533">
        <v>858</v>
      </c>
      <c r="AC334" s="534">
        <v>343.7</v>
      </c>
      <c r="AD334" t="s" s="535">
        <v>778</v>
      </c>
      <c r="AF334" t="s" s="88">
        <v>528</v>
      </c>
    </row>
    <row r="335" s="58" customFormat="1" ht="15" customHeight="1" hidden="1">
      <c r="Z335" t="s" s="88">
        <v>529</v>
      </c>
      <c r="AA335" t="s" s="533">
        <v>777</v>
      </c>
      <c r="AC335" s="534">
        <v>304.3</v>
      </c>
      <c r="AD335" t="s" s="535">
        <v>778</v>
      </c>
      <c r="AF335" t="s" s="88">
        <v>529</v>
      </c>
    </row>
    <row r="336" s="58" customFormat="1" ht="15" customHeight="1" hidden="1">
      <c r="Z336" t="s" s="88">
        <v>530</v>
      </c>
      <c r="AA336" t="s" s="533">
        <v>876</v>
      </c>
      <c r="AC336" s="534">
        <v>333.2</v>
      </c>
      <c r="AD336" t="s" s="535">
        <v>67</v>
      </c>
      <c r="AF336" t="s" s="88">
        <v>530</v>
      </c>
    </row>
    <row r="337" s="58" customFormat="1" ht="15" customHeight="1" hidden="1">
      <c r="Z337" t="s" s="88">
        <v>531</v>
      </c>
      <c r="AA337" t="s" s="533">
        <v>851</v>
      </c>
      <c r="AC337" s="534">
        <v>281.5</v>
      </c>
      <c r="AD337" t="s" s="535">
        <v>67</v>
      </c>
      <c r="AF337" t="s" s="88">
        <v>531</v>
      </c>
    </row>
    <row r="338" s="58" customFormat="1" ht="15" customHeight="1" hidden="1">
      <c r="Z338" t="s" s="88">
        <v>532</v>
      </c>
      <c r="AA338" t="s" s="533">
        <v>869</v>
      </c>
      <c r="AC338" s="534">
        <v>289.7</v>
      </c>
      <c r="AD338" t="s" s="535">
        <v>63</v>
      </c>
      <c r="AF338" t="s" s="88">
        <v>532</v>
      </c>
    </row>
    <row r="339" s="58" customFormat="1" ht="15" customHeight="1" hidden="1">
      <c r="Z339" t="s" s="88">
        <v>533</v>
      </c>
      <c r="AA339" t="s" s="533">
        <v>870</v>
      </c>
      <c r="AC339" s="534">
        <v>328.5</v>
      </c>
      <c r="AD339" t="s" s="535">
        <v>59</v>
      </c>
      <c r="AF339" t="s" s="88">
        <v>533</v>
      </c>
    </row>
    <row r="340" s="58" customFormat="1" ht="15" customHeight="1" hidden="1">
      <c r="Z340" t="s" s="88">
        <v>534</v>
      </c>
      <c r="AA340" t="s" s="533">
        <v>858</v>
      </c>
      <c r="AC340" s="534">
        <v>343.7</v>
      </c>
      <c r="AD340" t="s" s="535">
        <v>778</v>
      </c>
      <c r="AF340" t="s" s="88">
        <v>534</v>
      </c>
    </row>
    <row r="341" s="58" customFormat="1" ht="15" customHeight="1" hidden="1">
      <c r="Z341" t="s" s="88">
        <v>535</v>
      </c>
      <c r="AA341" t="s" s="533">
        <v>840</v>
      </c>
      <c r="AC341" s="534">
        <v>345.4</v>
      </c>
      <c r="AD341" t="s" s="535">
        <v>67</v>
      </c>
      <c r="AF341" t="s" s="88">
        <v>535</v>
      </c>
    </row>
    <row r="342" s="58" customFormat="1" ht="15" customHeight="1" hidden="1">
      <c r="Z342" t="s" s="88">
        <v>536</v>
      </c>
      <c r="AA342" t="s" s="533">
        <v>873</v>
      </c>
      <c r="AC342" s="534">
        <v>278</v>
      </c>
      <c r="AD342" t="s" s="535">
        <v>71</v>
      </c>
      <c r="AF342" t="s" s="88">
        <v>536</v>
      </c>
    </row>
    <row r="343" s="58" customFormat="1" ht="15" customHeight="1" hidden="1">
      <c r="Z343" t="s" s="88">
        <v>537</v>
      </c>
      <c r="AA343" t="s" s="533">
        <v>838</v>
      </c>
      <c r="AC343" s="534">
        <v>293.9</v>
      </c>
      <c r="AD343" t="s" s="535">
        <v>71</v>
      </c>
      <c r="AF343" t="s" s="88">
        <v>537</v>
      </c>
    </row>
    <row r="344" s="58" customFormat="1" ht="15" customHeight="1" hidden="1">
      <c r="Z344" t="s" s="88">
        <v>539</v>
      </c>
      <c r="AA344" t="s" s="533">
        <v>822</v>
      </c>
      <c r="AC344" s="534">
        <v>302.7</v>
      </c>
      <c r="AD344" t="s" s="535">
        <v>65</v>
      </c>
      <c r="AF344" t="s" s="88">
        <v>539</v>
      </c>
    </row>
    <row r="345" s="58" customFormat="1" ht="15" customHeight="1" hidden="1">
      <c r="Z345" t="s" s="88">
        <v>540</v>
      </c>
      <c r="AA345" t="s" s="533">
        <v>836</v>
      </c>
      <c r="AC345" s="534">
        <v>286.7</v>
      </c>
      <c r="AD345" t="s" s="535">
        <v>59</v>
      </c>
      <c r="AF345" t="s" s="88">
        <v>540</v>
      </c>
    </row>
    <row r="346" s="58" customFormat="1" ht="15" customHeight="1" hidden="1">
      <c r="Z346" t="s" s="88">
        <v>542</v>
      </c>
      <c r="AA346" t="s" s="533">
        <v>867</v>
      </c>
      <c r="AC346" s="534">
        <v>323.8</v>
      </c>
      <c r="AD346" t="s" s="535">
        <v>67</v>
      </c>
      <c r="AF346" t="s" s="88">
        <v>542</v>
      </c>
    </row>
    <row r="347" s="58" customFormat="1" ht="15" customHeight="1" hidden="1">
      <c r="Z347" t="s" s="88">
        <v>543</v>
      </c>
      <c r="AA347" t="s" s="533">
        <v>884</v>
      </c>
      <c r="AC347" s="534">
        <v>299.7</v>
      </c>
      <c r="AD347" t="s" s="535">
        <v>71</v>
      </c>
      <c r="AF347" t="s" s="88">
        <v>543</v>
      </c>
    </row>
    <row r="348" s="58" customFormat="1" ht="15" customHeight="1" hidden="1">
      <c r="Z348" t="s" s="88">
        <v>544</v>
      </c>
      <c r="AA348" t="s" s="533">
        <v>880</v>
      </c>
      <c r="AC348" s="534">
        <v>313.9</v>
      </c>
      <c r="AD348" t="s" s="535">
        <v>71</v>
      </c>
      <c r="AF348" t="s" s="88">
        <v>544</v>
      </c>
    </row>
    <row r="349" s="58" customFormat="1" ht="15" customHeight="1" hidden="1">
      <c r="Z349" t="s" s="88">
        <v>546</v>
      </c>
      <c r="AA349" t="s" s="533">
        <v>861</v>
      </c>
      <c r="AC349" s="534">
        <v>354.1</v>
      </c>
      <c r="AD349" t="s" s="535">
        <v>862</v>
      </c>
      <c r="AF349" t="s" s="88">
        <v>546</v>
      </c>
    </row>
    <row r="350" s="58" customFormat="1" ht="15" customHeight="1" hidden="1">
      <c r="Z350" t="s" s="88">
        <v>547</v>
      </c>
      <c r="AA350" t="s" s="533">
        <v>838</v>
      </c>
      <c r="AC350" s="534">
        <v>293.9</v>
      </c>
      <c r="AD350" t="s" s="535">
        <v>71</v>
      </c>
      <c r="AF350" t="s" s="88">
        <v>547</v>
      </c>
    </row>
    <row r="351" s="58" customFormat="1" ht="15" customHeight="1" hidden="1">
      <c r="Z351" t="s" s="88">
        <v>548</v>
      </c>
      <c r="AA351" t="s" s="533">
        <v>833</v>
      </c>
      <c r="AC351" s="534">
        <v>307.3</v>
      </c>
      <c r="AD351" t="s" s="535">
        <v>65</v>
      </c>
      <c r="AF351" t="s" s="88">
        <v>548</v>
      </c>
    </row>
    <row r="352" s="58" customFormat="1" ht="15" customHeight="1" hidden="1">
      <c r="Z352" t="s" s="88">
        <v>549</v>
      </c>
      <c r="AA352" t="s" s="533">
        <v>799</v>
      </c>
      <c r="AC352" s="534">
        <v>328.7</v>
      </c>
      <c r="AD352" t="s" s="535">
        <v>67</v>
      </c>
      <c r="AF352" t="s" s="88">
        <v>549</v>
      </c>
    </row>
    <row r="353" s="58" customFormat="1" ht="15" customHeight="1" hidden="1">
      <c r="Z353" t="s" s="88">
        <v>550</v>
      </c>
      <c r="AA353" t="s" s="533">
        <v>840</v>
      </c>
      <c r="AC353" s="534">
        <v>345.4</v>
      </c>
      <c r="AD353" t="s" s="535">
        <v>67</v>
      </c>
      <c r="AF353" t="s" s="88">
        <v>550</v>
      </c>
    </row>
    <row r="354" s="58" customFormat="1" ht="15" customHeight="1" hidden="1">
      <c r="Z354" t="s" s="88">
        <v>551</v>
      </c>
      <c r="AA354" t="s" s="533">
        <v>883</v>
      </c>
      <c r="AC354" s="534">
        <v>324.9</v>
      </c>
      <c r="AD354" t="s" s="535">
        <v>65</v>
      </c>
      <c r="AF354" t="s" s="88">
        <v>551</v>
      </c>
    </row>
    <row r="355" s="58" customFormat="1" ht="15" customHeight="1" hidden="1">
      <c r="Z355" t="s" s="88">
        <v>552</v>
      </c>
      <c r="AA355" t="s" s="533">
        <v>876</v>
      </c>
      <c r="AC355" s="534">
        <v>333.2</v>
      </c>
      <c r="AD355" t="s" s="535">
        <v>67</v>
      </c>
      <c r="AF355" t="s" s="88">
        <v>552</v>
      </c>
    </row>
    <row r="356" s="58" customFormat="1" ht="15" customHeight="1" hidden="1">
      <c r="Z356" t="s" s="88">
        <v>553</v>
      </c>
      <c r="AA356" t="s" s="533">
        <v>840</v>
      </c>
      <c r="AC356" s="534">
        <v>345.4</v>
      </c>
      <c r="AD356" t="s" s="535">
        <v>67</v>
      </c>
      <c r="AF356" t="s" s="88">
        <v>553</v>
      </c>
    </row>
    <row r="357" s="58" customFormat="1" ht="15" customHeight="1" hidden="1">
      <c r="Z357" t="s" s="88">
        <v>554</v>
      </c>
      <c r="AA357" t="s" s="533">
        <v>815</v>
      </c>
      <c r="AC357" s="534">
        <v>320.6</v>
      </c>
      <c r="AD357" t="s" s="535">
        <v>80</v>
      </c>
      <c r="AF357" t="s" s="88">
        <v>554</v>
      </c>
    </row>
    <row r="358" s="58" customFormat="1" ht="15" customHeight="1" hidden="1">
      <c r="Z358" t="s" s="88">
        <v>555</v>
      </c>
      <c r="AA358" t="s" s="533">
        <v>856</v>
      </c>
      <c r="AC358" s="534">
        <v>289.6</v>
      </c>
      <c r="AD358" t="s" s="535">
        <v>80</v>
      </c>
      <c r="AF358" t="s" s="88">
        <v>555</v>
      </c>
    </row>
    <row r="359" s="58" customFormat="1" ht="15" customHeight="1" hidden="1">
      <c r="Z359" t="s" s="88">
        <v>556</v>
      </c>
      <c r="AA359" t="s" s="533">
        <v>760</v>
      </c>
      <c r="AC359" s="534">
        <v>332.5</v>
      </c>
      <c r="AD359" t="s" s="535">
        <v>67</v>
      </c>
      <c r="AF359" t="s" s="88">
        <v>556</v>
      </c>
    </row>
    <row r="360" s="58" customFormat="1" ht="15" customHeight="1" hidden="1">
      <c r="Z360" t="s" s="88">
        <v>557</v>
      </c>
      <c r="AA360" t="s" s="533">
        <v>856</v>
      </c>
      <c r="AC360" s="534">
        <v>289.6</v>
      </c>
      <c r="AD360" t="s" s="535">
        <v>80</v>
      </c>
      <c r="AF360" t="s" s="88">
        <v>557</v>
      </c>
    </row>
    <row r="361" s="58" customFormat="1" ht="15" customHeight="1" hidden="1">
      <c r="Z361" t="s" s="88">
        <v>558</v>
      </c>
      <c r="AA361" t="s" s="533">
        <v>774</v>
      </c>
      <c r="AC361" s="534">
        <v>328.3</v>
      </c>
      <c r="AD361" t="s" s="535">
        <v>67</v>
      </c>
      <c r="AF361" t="s" s="88">
        <v>558</v>
      </c>
    </row>
    <row r="362" s="58" customFormat="1" ht="15" customHeight="1" hidden="1">
      <c r="Z362" t="s" s="88">
        <v>559</v>
      </c>
      <c r="AA362" t="s" s="533">
        <v>822</v>
      </c>
      <c r="AC362" s="534">
        <v>302.7</v>
      </c>
      <c r="AD362" t="s" s="535">
        <v>65</v>
      </c>
      <c r="AF362" t="s" s="88">
        <v>559</v>
      </c>
    </row>
    <row r="363" s="58" customFormat="1" ht="15" customHeight="1" hidden="1">
      <c r="Z363" t="s" s="88">
        <v>560</v>
      </c>
      <c r="AA363" t="s" s="533">
        <v>856</v>
      </c>
      <c r="AC363" s="534">
        <v>289.6</v>
      </c>
      <c r="AD363" t="s" s="535">
        <v>80</v>
      </c>
      <c r="AF363" t="s" s="88">
        <v>560</v>
      </c>
    </row>
    <row r="364" s="58" customFormat="1" ht="14.25" customHeight="1" hidden="1">
      <c r="Z364" t="s" s="608">
        <v>561</v>
      </c>
      <c r="AA364" t="s" s="609">
        <v>871</v>
      </c>
      <c r="AB364" s="610"/>
      <c r="AC364" s="534">
        <v>299.6</v>
      </c>
      <c r="AD364" t="s" s="611">
        <v>791</v>
      </c>
      <c r="AF364" t="s" s="608">
        <v>561</v>
      </c>
    </row>
    <row r="365" s="58" customFormat="1" ht="14.25" customHeight="1" hidden="1">
      <c r="Z365" t="s" s="612">
        <v>890</v>
      </c>
      <c r="AA365" s="613"/>
      <c r="AB365" s="614"/>
      <c r="AC365" s="534">
        <v>316.4</v>
      </c>
    </row>
    <row r="366" s="58" customFormat="1" ht="14.25" customHeight="1" hidden="1">
      <c r="Z366" t="s" s="615">
        <v>891</v>
      </c>
      <c r="AA366" s="616">
        <f>'Project Information'!H10</f>
        <v>0</v>
      </c>
      <c r="AC366" s="617">
        <f>VLOOKUP(AA366,Z11:AC364,4,FALSE)</f>
      </c>
      <c r="AD366" s="618">
        <f>VLOOKUP(AA366,Z11:AD364,5,FALSE)</f>
      </c>
    </row>
    <row r="367" s="58" customFormat="1" ht="13.5" customHeight="1" hidden="1">
      <c r="Z367" t="s" s="508">
        <v>892</v>
      </c>
      <c r="AC367" t="s" s="619">
        <v>893</v>
      </c>
      <c r="AD367" s="618">
        <f>VLOOKUP(AA366,Z11:AA364,2,FALSE)</f>
      </c>
    </row>
    <row r="368" s="58" customFormat="1" ht="12.75" customHeight="1" hidden="1">
      <c r="AC368" s="620"/>
      <c r="AD368" s="621"/>
    </row>
    <row r="369" s="58" customFormat="1" ht="12.75" customHeight="1" hidden="1">
      <c r="Z369" t="s" s="622">
        <v>894</v>
      </c>
      <c r="AA369" s="623"/>
      <c r="AB369" s="238"/>
      <c r="AC369" s="238"/>
      <c r="AD369" s="238"/>
    </row>
    <row r="370" s="58" customFormat="1" ht="12.75" customHeight="1" hidden="1">
      <c r="Z370" t="s" s="622">
        <v>895</v>
      </c>
      <c r="AA370" s="624"/>
      <c r="AB370" s="238"/>
      <c r="AC370" s="238"/>
      <c r="AD370" s="624"/>
    </row>
    <row r="371" s="58" customFormat="1" ht="12.75" customHeight="1" hidden="1">
      <c r="Z371" t="s" s="625">
        <v>896</v>
      </c>
      <c r="AA371" s="624"/>
      <c r="AB371" s="238"/>
      <c r="AC371" s="238"/>
      <c r="AD371" s="238"/>
    </row>
    <row r="372" s="58" customFormat="1" ht="12.75" customHeight="1" hidden="1">
      <c r="Z372" t="s" s="626">
        <v>897</v>
      </c>
      <c r="AA372" t="s" s="627">
        <v>898</v>
      </c>
      <c r="AB372" s="628"/>
      <c r="AC372" s="629"/>
      <c r="AD372" s="629"/>
    </row>
    <row r="400" s="58" customFormat="1" ht="12.75" customHeight="1" hidden="1">
      <c r="A400" s="190">
        <v>42975</v>
      </c>
    </row>
    <row r="402" s="58" customFormat="1" ht="12.75" customHeight="1" hidden="1">
      <c r="A402" s="190"/>
    </row>
  </sheetData>
  <mergeCells count="4">
    <mergeCell ref="E25:I25"/>
    <mergeCell ref="AU36:AV36"/>
    <mergeCell ref="B27:C27"/>
    <mergeCell ref="B3:C3"/>
  </mergeCells>
  <pageMargins left="0.75" right="0.75" top="1" bottom="1" header="0.5" footer="0.5"/>
  <pageSetup firstPageNumber="1" fitToHeight="1" fitToWidth="1" scale="100" useFirstPageNumber="0" orientation="landscape" pageOrder="downThenOver"/>
  <headerFooter>
    <oddFooter>&amp;L&amp;"Helvetica,Regular"&amp;12&amp;K000000	&amp;P</oddFooter>
  </headerFooter>
</worksheet>
</file>

<file path=xl/worksheets/sheet12.xml><?xml version="1.0" encoding="utf-8"?>
<worksheet xmlns:r="http://schemas.openxmlformats.org/officeDocument/2006/relationships" xmlns="http://schemas.openxmlformats.org/spreadsheetml/2006/main">
  <sheetPr>
    <pageSetUpPr fitToPage="1"/>
  </sheetPr>
  <sheetViews>
    <sheetView workbookViewId="0" showGridLines="0" defaultGridColor="1"/>
  </sheetViews>
  <sheetFormatPr defaultColWidth="10" defaultRowHeight="13" customHeight="1" outlineLevelRow="0" outlineLevelCol="0"/>
  <cols>
    <col min="1" max="256" width="10" customWidth="1"/>
  </cols>
  <sheetData/>
  <pageMargins left="0.75" right="0.75" top="1" bottom="1" header="0.5" footer="0.5"/>
  <pageSetup firstPageNumber="1" fitToHeight="1" fitToWidth="1" scale="100" useFirstPageNumber="0" orientation="landscape" pageOrder="downThenOver"/>
  <headerFooter>
    <oddFooter>&amp;L&amp;"Helvetica,Regular"&amp;12&amp;K000000	&amp;P</oddFooter>
  </headerFooter>
  <drawing r:id="rId1"/>
  <legacyDrawing r:id="rId2"/>
</worksheet>
</file>

<file path=xl/worksheets/sheet13.xml><?xml version="1.0" encoding="utf-8"?>
<worksheet xmlns:r="http://schemas.openxmlformats.org/officeDocument/2006/relationships" xmlns="http://schemas.openxmlformats.org/spreadsheetml/2006/main">
  <dimension ref="A1:CT403"/>
  <sheetViews>
    <sheetView workbookViewId="0" showGridLines="0" defaultGridColor="1"/>
  </sheetViews>
  <sheetFormatPr defaultColWidth="6.625" defaultRowHeight="0" customHeight="1" outlineLevelRow="0" outlineLevelCol="0"/>
  <cols>
    <col min="1" max="1" width="3.75" style="630" customWidth="1"/>
    <col min="2" max="2" width="11.625" style="630" customWidth="1"/>
    <col min="3" max="3" width="13.5" style="630" customWidth="1"/>
    <col min="4" max="4" width="15.375" style="630" customWidth="1"/>
    <col min="5" max="5" width="15.625" style="630" customWidth="1"/>
    <col min="6" max="6" width="10.75" style="630" customWidth="1"/>
    <col min="7" max="7" width="12.375" style="630" customWidth="1"/>
    <col min="8" max="8" width="16.5" style="630" customWidth="1"/>
    <col min="9" max="9" width="16.5" style="630" customWidth="1"/>
    <col min="10" max="10" width="16.5" style="630" customWidth="1"/>
    <col min="11" max="11" width="13.25" style="630" customWidth="1"/>
    <col min="12" max="12" width="13.5" style="630" customWidth="1"/>
    <col min="13" max="13" width="6.875" style="630" customWidth="1"/>
    <col min="14" max="14" hidden="1" width="6.625" style="630" customWidth="1"/>
    <col min="15" max="15" hidden="1" width="6.625" style="630" customWidth="1"/>
    <col min="16" max="16" hidden="1" width="6.625" style="630" customWidth="1"/>
    <col min="17" max="17" hidden="1" width="6.625" style="630" customWidth="1"/>
    <col min="18" max="18" hidden="1" width="6.625" style="630" customWidth="1"/>
    <col min="19" max="19" hidden="1" width="6.625" style="630" customWidth="1"/>
    <col min="20" max="20" hidden="1" width="6.625" style="630" customWidth="1"/>
    <col min="21" max="21" hidden="1" width="6.625" style="630" customWidth="1"/>
    <col min="22" max="22" hidden="1" width="6.625" style="630" customWidth="1"/>
    <col min="23" max="23" hidden="1" width="6.625" style="630" customWidth="1"/>
    <col min="24" max="24" hidden="1" width="6.625" style="630" customWidth="1"/>
    <col min="25" max="25" hidden="1" width="6.625" style="630" customWidth="1"/>
    <col min="26" max="26" hidden="1" width="6.625" style="630" customWidth="1"/>
    <col min="27" max="27" hidden="1" width="6.625" style="630" customWidth="1"/>
    <col min="28" max="28" hidden="1" width="6.625" style="630" customWidth="1"/>
    <col min="29" max="29" hidden="1" width="6.625" style="630" customWidth="1"/>
    <col min="30" max="30" hidden="1" width="6.625" style="630" customWidth="1"/>
    <col min="31" max="31" hidden="1" width="6.625" style="630" customWidth="1"/>
    <col min="32" max="32" hidden="1" width="6.625" style="630" customWidth="1"/>
    <col min="33" max="33" hidden="1" width="6.625" style="630" customWidth="1"/>
    <col min="34" max="34" hidden="1" width="6.625" style="630" customWidth="1"/>
    <col min="35" max="35" hidden="1" width="6.625" style="630" customWidth="1"/>
    <col min="36" max="36" hidden="1" width="6.625" style="630" customWidth="1"/>
    <col min="37" max="37" hidden="1" width="6.625" style="630" customWidth="1"/>
    <col min="38" max="38" hidden="1" width="6.625" style="630" customWidth="1"/>
    <col min="39" max="39" hidden="1" width="6.625" style="630" customWidth="1"/>
    <col min="40" max="40" hidden="1" width="6.625" style="630" customWidth="1"/>
    <col min="41" max="41" hidden="1" width="6.625" style="630" customWidth="1"/>
    <col min="42" max="42" hidden="1" width="6.625" style="630" customWidth="1"/>
    <col min="43" max="43" width="6.875" style="630" customWidth="1"/>
    <col min="44" max="44" width="6.875" style="630" customWidth="1"/>
    <col min="45" max="45" width="6.875" style="630" customWidth="1"/>
    <col min="46" max="46" width="6.875" style="630" customWidth="1"/>
    <col min="47" max="47" width="6.875" style="630" customWidth="1"/>
    <col min="48" max="48" width="6.875" style="630" customWidth="1"/>
    <col min="49" max="49" width="6.875" style="630" customWidth="1"/>
    <col min="50" max="50" width="6.875" style="630" customWidth="1"/>
    <col min="51" max="51" width="6.875" style="630" customWidth="1"/>
    <col min="52" max="52" width="6.875" style="630" customWidth="1"/>
    <col min="53" max="53" width="6.875" style="630" customWidth="1"/>
    <col min="54" max="54" width="6.875" style="630" customWidth="1"/>
    <col min="55" max="55" width="6.875" style="630" customWidth="1"/>
    <col min="56" max="56" width="6.875" style="630" customWidth="1"/>
    <col min="57" max="57" width="6.875" style="630" customWidth="1"/>
    <col min="58" max="58" width="6.875" style="630" customWidth="1"/>
    <col min="59" max="59" width="6.875" style="630" customWidth="1"/>
    <col min="60" max="60" width="6.875" style="630" customWidth="1"/>
    <col min="61" max="61" width="6.875" style="630" customWidth="1"/>
    <col min="62" max="62" width="6.875" style="630" customWidth="1"/>
    <col min="63" max="63" width="6.875" style="630" customWidth="1"/>
    <col min="64" max="64" width="6.875" style="630" customWidth="1"/>
    <col min="65" max="65" width="6.875" style="630" customWidth="1"/>
    <col min="66" max="66" width="6.875" style="630" customWidth="1"/>
    <col min="67" max="67" width="6.875" style="630" customWidth="1"/>
    <col min="68" max="68" width="6.875" style="630" customWidth="1"/>
    <col min="69" max="69" width="6.875" style="630" customWidth="1"/>
    <col min="70" max="70" width="6.875" style="630" customWidth="1"/>
    <col min="71" max="71" width="6.875" style="630" customWidth="1"/>
    <col min="72" max="72" width="6.875" style="630" customWidth="1"/>
    <col min="73" max="73" width="6.875" style="630" customWidth="1"/>
    <col min="74" max="74" width="6.875" style="630" customWidth="1"/>
    <col min="75" max="75" width="6.875" style="630" customWidth="1"/>
    <col min="76" max="76" width="6.875" style="630" customWidth="1"/>
    <col min="77" max="77" width="6.875" style="630" customWidth="1"/>
    <col min="78" max="78" width="6.875" style="630" customWidth="1"/>
    <col min="79" max="79" width="6.875" style="630" customWidth="1"/>
    <col min="80" max="80" width="6.875" style="630" customWidth="1"/>
    <col min="81" max="81" width="6.875" style="630" customWidth="1"/>
    <col min="82" max="82" width="6.875" style="630" customWidth="1"/>
    <col min="83" max="83" width="6.875" style="630" customWidth="1"/>
    <col min="84" max="84" width="6.875" style="630" customWidth="1"/>
    <col min="85" max="85" width="6.875" style="630" customWidth="1"/>
    <col min="86" max="86" width="6.875" style="630" customWidth="1"/>
    <col min="87" max="87" width="6.875" style="630" customWidth="1"/>
    <col min="88" max="88" width="6.875" style="630" customWidth="1"/>
    <col min="89" max="89" width="6.875" style="630" customWidth="1"/>
    <col min="90" max="90" width="6.875" style="630" customWidth="1"/>
    <col min="91" max="91" width="6.875" style="630" customWidth="1"/>
    <col min="92" max="92" width="6.875" style="630" customWidth="1"/>
    <col min="93" max="93" width="6.875" style="630" customWidth="1"/>
    <col min="94" max="94" width="6.875" style="630" customWidth="1"/>
    <col min="95" max="95" width="6.875" style="630" customWidth="1"/>
    <col min="96" max="96" width="6.875" style="630" customWidth="1"/>
    <col min="97" max="97" width="6.875" style="630" customWidth="1"/>
    <col min="98" max="98" width="6.875" style="630" customWidth="1"/>
    <col min="99" max="256" width="6.625" style="630" customWidth="1"/>
  </cols>
  <sheetData>
    <row r="1" ht="23.25" customHeight="1">
      <c r="A1" s="11"/>
      <c r="B1" t="s" s="631">
        <v>900</v>
      </c>
      <c r="C1" s="11"/>
      <c r="D1" s="11"/>
      <c r="E1" s="11"/>
      <c r="F1" s="11"/>
      <c r="G1" s="11"/>
      <c r="H1" s="9"/>
      <c r="I1" s="9"/>
      <c r="J1" s="9"/>
      <c r="K1" s="10"/>
      <c r="L1" s="11"/>
      <c r="M1" s="11"/>
      <c r="N1" s="11"/>
      <c r="O1" s="11"/>
      <c r="P1" s="11"/>
      <c r="Q1" s="11"/>
      <c r="R1" s="11"/>
      <c r="S1" s="11"/>
      <c r="T1" s="11"/>
      <c r="U1" s="11"/>
      <c r="V1" s="11"/>
      <c r="W1" s="11"/>
      <c r="X1" s="11"/>
      <c r="Y1" s="11"/>
      <c r="Z1" s="632"/>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row>
    <row r="2" ht="23.25" customHeight="1">
      <c r="A2" s="11"/>
      <c r="B2" s="633"/>
      <c r="C2" s="634"/>
      <c r="D2" s="11"/>
      <c r="E2" s="11"/>
      <c r="F2" s="25"/>
      <c r="G2" s="11"/>
      <c r="H2" s="9"/>
      <c r="I2" s="9"/>
      <c r="J2" s="9"/>
      <c r="K2" s="12"/>
      <c r="L2" s="11"/>
      <c r="M2" s="11"/>
      <c r="N2" s="11"/>
      <c r="O2" s="11"/>
      <c r="P2" s="11"/>
      <c r="Q2" s="11"/>
      <c r="R2" s="11"/>
      <c r="S2" s="11"/>
      <c r="T2" s="11"/>
      <c r="U2" s="11"/>
      <c r="V2" s="11"/>
      <c r="W2" s="11"/>
      <c r="X2" s="11"/>
      <c r="Y2" s="11"/>
      <c r="Z2" s="632"/>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row>
    <row r="3" ht="15.75" customHeight="1">
      <c r="A3" s="635"/>
      <c r="B3" t="s" s="636">
        <v>56</v>
      </c>
      <c r="C3" s="637"/>
      <c r="D3" s="30"/>
      <c r="E3" s="11"/>
      <c r="F3" s="638"/>
      <c r="G3" s="11"/>
      <c r="H3" s="9"/>
      <c r="I3" s="9"/>
      <c r="J3" s="9"/>
      <c r="K3" s="9"/>
      <c r="L3" s="11"/>
      <c r="M3" s="11"/>
      <c r="N3" s="11"/>
      <c r="O3" s="11"/>
      <c r="P3" s="11"/>
      <c r="Q3" s="11"/>
      <c r="R3" s="11"/>
      <c r="S3" s="11"/>
      <c r="T3" s="11"/>
      <c r="U3" s="11"/>
      <c r="V3" s="11"/>
      <c r="W3" s="11"/>
      <c r="X3" s="11"/>
      <c r="Y3" s="11"/>
      <c r="Z3" s="632"/>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row>
    <row r="4" ht="15" customHeight="1">
      <c r="A4" s="635"/>
      <c r="B4" t="s" s="484">
        <v>58</v>
      </c>
      <c r="C4" s="485"/>
      <c r="D4" s="30"/>
      <c r="E4" s="11"/>
      <c r="F4" s="639"/>
      <c r="G4" s="11"/>
      <c r="H4" s="13"/>
      <c r="I4" s="13"/>
      <c r="J4" s="67"/>
      <c r="K4" s="9"/>
      <c r="L4" s="11"/>
      <c r="M4" s="11"/>
      <c r="N4" s="11"/>
      <c r="O4" s="11"/>
      <c r="P4" s="11"/>
      <c r="Q4" s="11"/>
      <c r="R4" s="11"/>
      <c r="S4" s="11"/>
      <c r="T4" s="11"/>
      <c r="U4" s="11"/>
      <c r="V4" s="11"/>
      <c r="W4" s="11"/>
      <c r="X4" s="11"/>
      <c r="Y4" s="11"/>
      <c r="Z4" s="632"/>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row>
    <row r="5" ht="15" customHeight="1">
      <c r="A5" s="635"/>
      <c r="B5" t="s" s="487">
        <v>570</v>
      </c>
      <c r="C5" s="488"/>
      <c r="D5" s="30"/>
      <c r="E5" s="11"/>
      <c r="F5" s="11"/>
      <c r="G5" s="11"/>
      <c r="H5" s="11"/>
      <c r="I5" s="11"/>
      <c r="J5" s="11"/>
      <c r="K5" s="11"/>
      <c r="L5" s="11"/>
      <c r="M5" s="11"/>
      <c r="N5" s="11"/>
      <c r="O5" s="11"/>
      <c r="P5" s="11"/>
      <c r="Q5" s="11"/>
      <c r="R5" s="11"/>
      <c r="S5" s="11"/>
      <c r="T5" s="11"/>
      <c r="U5" s="11"/>
      <c r="V5" s="11"/>
      <c r="W5" s="11"/>
      <c r="X5" s="11"/>
      <c r="Y5" s="11"/>
      <c r="Z5" s="632"/>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row>
    <row r="6" ht="15" customHeight="1">
      <c r="A6" s="635"/>
      <c r="B6" t="s" s="640">
        <v>734</v>
      </c>
      <c r="C6" s="641"/>
      <c r="D6" s="30"/>
      <c r="E6" s="642"/>
      <c r="F6" s="11"/>
      <c r="G6" s="11"/>
      <c r="H6" s="11"/>
      <c r="I6" s="11"/>
      <c r="J6" s="11"/>
      <c r="K6" s="11"/>
      <c r="L6" s="11"/>
      <c r="M6" s="11"/>
      <c r="N6" s="11"/>
      <c r="O6" s="11"/>
      <c r="P6" s="11"/>
      <c r="Q6" s="11"/>
      <c r="R6" s="11"/>
      <c r="S6" s="11"/>
      <c r="T6" s="11"/>
      <c r="U6" s="11"/>
      <c r="V6" s="11"/>
      <c r="W6" s="11"/>
      <c r="X6" s="11"/>
      <c r="Y6" s="11"/>
      <c r="Z6" s="632"/>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row>
    <row r="7" ht="13.5" customHeight="1">
      <c r="A7" s="11"/>
      <c r="B7" s="643"/>
      <c r="C7" s="643"/>
      <c r="D7" s="634"/>
      <c r="E7" s="634"/>
      <c r="F7" s="634"/>
      <c r="G7" s="634"/>
      <c r="H7" s="634"/>
      <c r="I7" s="634"/>
      <c r="J7" s="634"/>
      <c r="K7" s="634"/>
      <c r="L7" s="634"/>
      <c r="M7" s="11"/>
      <c r="N7" s="11"/>
      <c r="O7" s="11"/>
      <c r="P7" s="11"/>
      <c r="Q7" s="11"/>
      <c r="R7" s="11"/>
      <c r="S7" s="11"/>
      <c r="T7" s="11"/>
      <c r="U7" s="11"/>
      <c r="V7" s="11"/>
      <c r="W7" s="11"/>
      <c r="X7" s="11"/>
      <c r="Y7" s="11"/>
      <c r="Z7" s="11"/>
      <c r="AA7" s="11"/>
      <c r="AB7" s="11"/>
      <c r="AC7" s="11"/>
      <c r="AD7" s="11"/>
      <c r="AE7" s="11"/>
      <c r="AF7" s="11"/>
      <c r="AG7" s="634"/>
      <c r="AH7" s="634"/>
      <c r="AI7" s="634"/>
      <c r="AJ7" s="634"/>
      <c r="AK7" s="634"/>
      <c r="AL7" s="634"/>
      <c r="AM7" s="634"/>
      <c r="AN7" s="634"/>
      <c r="AO7" s="634"/>
      <c r="AP7" s="634"/>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row>
    <row r="8" ht="54.75" customHeight="1">
      <c r="A8" s="635"/>
      <c r="B8" t="s" s="644">
        <v>735</v>
      </c>
      <c r="C8" t="s" s="644">
        <v>736</v>
      </c>
      <c r="D8" t="s" s="644">
        <v>737</v>
      </c>
      <c r="E8" t="s" s="644">
        <v>738</v>
      </c>
      <c r="F8" t="s" s="644">
        <v>739</v>
      </c>
      <c r="G8" t="s" s="644">
        <v>740</v>
      </c>
      <c r="H8" t="s" s="644">
        <v>742</v>
      </c>
      <c r="I8" t="s" s="644">
        <v>901</v>
      </c>
      <c r="J8" t="s" s="644">
        <v>902</v>
      </c>
      <c r="K8" t="s" s="644">
        <v>744</v>
      </c>
      <c r="L8" t="s" s="644">
        <v>745</v>
      </c>
      <c r="M8" s="30"/>
      <c r="N8" s="11"/>
      <c r="O8" s="11"/>
      <c r="P8" s="11"/>
      <c r="Q8" s="11"/>
      <c r="R8" s="11"/>
      <c r="S8" s="11"/>
      <c r="T8" s="11"/>
      <c r="U8" s="11"/>
      <c r="V8" s="11"/>
      <c r="W8" s="645"/>
      <c r="X8" s="646"/>
      <c r="Y8" t="s" s="647">
        <v>748</v>
      </c>
      <c r="Z8" s="648"/>
      <c r="AA8" s="11"/>
      <c r="AB8" s="11"/>
      <c r="AC8" s="11"/>
      <c r="AD8" s="11"/>
      <c r="AE8" s="11"/>
      <c r="AF8" s="635"/>
      <c r="AG8" s="649"/>
      <c r="AH8" s="128"/>
      <c r="AI8" s="650"/>
      <c r="AJ8" s="128"/>
      <c r="AK8" s="128"/>
      <c r="AL8" s="128"/>
      <c r="AM8" s="128"/>
      <c r="AN8" s="128"/>
      <c r="AO8" s="128"/>
      <c r="AP8" s="651"/>
      <c r="AQ8" s="30"/>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row>
    <row r="9" ht="23.25" customHeight="1">
      <c r="A9" s="635"/>
      <c r="B9" s="652"/>
      <c r="C9" s="652"/>
      <c r="D9" s="652"/>
      <c r="E9" s="652"/>
      <c r="F9" s="652"/>
      <c r="G9" t="s" s="653">
        <v>753</v>
      </c>
      <c r="H9" t="s" s="653">
        <v>754</v>
      </c>
      <c r="I9" s="653">
        <f>'Project Information'!H16</f>
        <v>0</v>
      </c>
      <c r="J9" s="653"/>
      <c r="K9" s="653">
        <f>'Project Information'!H16</f>
        <v>0</v>
      </c>
      <c r="L9" s="652"/>
      <c r="M9" s="30"/>
      <c r="N9" s="11"/>
      <c r="O9" s="11"/>
      <c r="P9" s="11"/>
      <c r="Q9" s="11"/>
      <c r="R9" s="11"/>
      <c r="S9" s="11"/>
      <c r="T9" s="11"/>
      <c r="U9" s="11"/>
      <c r="V9" s="11"/>
      <c r="W9" s="11"/>
      <c r="X9" s="11"/>
      <c r="Y9" s="11"/>
      <c r="Z9" s="648"/>
      <c r="AA9" s="11"/>
      <c r="AB9" s="11"/>
      <c r="AC9" s="11"/>
      <c r="AD9" s="11"/>
      <c r="AE9" t="s" s="654">
        <v>758</v>
      </c>
      <c r="AF9" s="635"/>
      <c r="AG9" s="655"/>
      <c r="AH9" t="s" s="656">
        <v>903</v>
      </c>
      <c r="AI9" s="657"/>
      <c r="AJ9" s="657"/>
      <c r="AK9" s="657"/>
      <c r="AL9" s="657"/>
      <c r="AM9" s="657"/>
      <c r="AN9" s="657"/>
      <c r="AO9" s="657"/>
      <c r="AP9" s="658"/>
      <c r="AQ9" s="30"/>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row>
    <row r="10" ht="23.25" customHeight="1">
      <c r="A10" s="635"/>
      <c r="B10" t="s" s="659">
        <v>78</v>
      </c>
      <c r="C10" t="s" s="659">
        <v>78</v>
      </c>
      <c r="D10" s="660"/>
      <c r="E10" s="660"/>
      <c r="F10" s="660"/>
      <c r="G10" t="s" s="659">
        <v>78</v>
      </c>
      <c r="H10" t="s" s="659">
        <v>78</v>
      </c>
      <c r="I10" s="660"/>
      <c r="J10" s="660"/>
      <c r="K10" t="s" s="659">
        <v>78</v>
      </c>
      <c r="L10" s="661"/>
      <c r="M10" s="30"/>
      <c r="N10" s="11"/>
      <c r="O10" s="11"/>
      <c r="P10" s="11"/>
      <c r="Q10" s="11"/>
      <c r="R10" s="11"/>
      <c r="S10" s="11"/>
      <c r="T10" s="11"/>
      <c r="U10" s="11"/>
      <c r="V10" s="11"/>
      <c r="W10" s="11"/>
      <c r="X10" s="11"/>
      <c r="Y10" s="11"/>
      <c r="Z10" s="648"/>
      <c r="AA10" s="11"/>
      <c r="AB10" s="11"/>
      <c r="AC10" s="11"/>
      <c r="AD10" s="11"/>
      <c r="AE10" s="662"/>
      <c r="AF10" s="635"/>
      <c r="AG10" s="655"/>
      <c r="AH10" s="663"/>
      <c r="AI10" s="657"/>
      <c r="AJ10" s="657"/>
      <c r="AK10" s="657"/>
      <c r="AL10" s="657"/>
      <c r="AM10" s="657"/>
      <c r="AN10" s="657"/>
      <c r="AO10" s="657"/>
      <c r="AP10" s="658"/>
      <c r="AQ10" s="30"/>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row>
    <row r="11" ht="18" customHeight="1">
      <c r="A11" s="635"/>
      <c r="B11" t="s" s="664">
        <v>792</v>
      </c>
      <c r="C11" s="526">
        <v>2</v>
      </c>
      <c r="D11" t="s" s="665">
        <f>LEFT(B11,1)</f>
        <v>904</v>
      </c>
      <c r="E11" t="s" s="665">
        <f>IF(C11="",0,(IF(LEN(B11)=5,MID(B11,3,1),MID(B11,3,2))))</f>
        <v>905</v>
      </c>
      <c r="F11" t="s" s="665">
        <f>IF(Y11="H","House",IF(Y11="B","Bungalow",IF(Y11="F","Flat",IF(Y11="S","Shared",IF(Y11="T","Bedsit",IF(Y11="A","Wheelchair Flat",IF(Y11="W","Wheelchair",0)))))))</f>
        <v>906</v>
      </c>
      <c r="G11" s="526">
        <v>65</v>
      </c>
      <c r="H11" s="528">
        <v>175000</v>
      </c>
      <c r="I11" s="528">
        <v>175</v>
      </c>
      <c r="J11" s="666">
        <v>0.8</v>
      </c>
      <c r="K11" s="667">
        <f>I11*J11</f>
        <v>140</v>
      </c>
      <c r="L11" s="668">
        <f>K11*C11*52</f>
        <v>14560</v>
      </c>
      <c r="M11" s="30"/>
      <c r="N11" s="11"/>
      <c r="O11" s="11"/>
      <c r="P11" s="11"/>
      <c r="Q11" s="11"/>
      <c r="R11" s="11"/>
      <c r="S11" s="11"/>
      <c r="T11" s="11"/>
      <c r="U11" s="11"/>
      <c r="V11" s="11"/>
      <c r="W11" s="669"/>
      <c r="X11" s="670"/>
      <c r="Y11" t="s" s="671">
        <f>RIGHT(B11,1)</f>
        <v>907</v>
      </c>
      <c r="Z11" s="672"/>
      <c r="AA11" s="30"/>
      <c r="AB11" s="11"/>
      <c r="AC11" s="11"/>
      <c r="AD11" s="11"/>
      <c r="AE11" t="s" s="673">
        <v>908</v>
      </c>
      <c r="AF11" s="674"/>
      <c r="AG11" s="655"/>
      <c r="AH11" s="675"/>
      <c r="AI11" s="657"/>
      <c r="AJ11" s="657"/>
      <c r="AK11" s="657"/>
      <c r="AL11" s="657"/>
      <c r="AM11" s="657"/>
      <c r="AN11" s="657"/>
      <c r="AO11" s="657"/>
      <c r="AP11" s="658"/>
      <c r="AQ11" s="30"/>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row>
    <row r="12" ht="18" customHeight="1">
      <c r="A12" s="635"/>
      <c r="B12" t="s" s="676">
        <v>823</v>
      </c>
      <c r="C12" s="539">
        <v>3</v>
      </c>
      <c r="D12" t="s" s="677">
        <f>LEFT(B12,1)</f>
        <v>905</v>
      </c>
      <c r="E12" t="s" s="677">
        <f>IF(C12="",0,(IF(LEN(B12)=5,MID(B12,3,1),MID(B12,3,2))))</f>
        <v>909</v>
      </c>
      <c r="F12" t="s" s="677">
        <f>IF(Y12="H","House",IF(Y12="B","Bungalow",IF(Y12="F","Flat",IF(Y12="S","Shared",IF(Y12="T","Bedsit",IF(Y12="A","Wheelchair Flat",IF(Y12="W","Wheelchair",0)))))))</f>
        <v>906</v>
      </c>
      <c r="G12" s="539">
        <v>85</v>
      </c>
      <c r="H12" s="541">
        <v>200000</v>
      </c>
      <c r="I12" s="541">
        <v>200</v>
      </c>
      <c r="J12" s="678">
        <v>0.8</v>
      </c>
      <c r="K12" s="679">
        <f>I12*J12</f>
        <v>160</v>
      </c>
      <c r="L12" s="680">
        <f>K12*C12*52</f>
        <v>24960</v>
      </c>
      <c r="M12" s="30"/>
      <c r="N12" s="11"/>
      <c r="O12" s="11"/>
      <c r="P12" s="11"/>
      <c r="Q12" s="11"/>
      <c r="R12" s="11"/>
      <c r="S12" s="11"/>
      <c r="T12" s="11"/>
      <c r="U12" s="11"/>
      <c r="V12" s="11"/>
      <c r="W12" s="669"/>
      <c r="X12" s="670"/>
      <c r="Y12" t="s" s="671">
        <f>RIGHT(B12,1)</f>
        <v>907</v>
      </c>
      <c r="Z12" s="672"/>
      <c r="AA12" s="30"/>
      <c r="AB12" s="11"/>
      <c r="AC12" s="11"/>
      <c r="AD12" s="11"/>
      <c r="AE12" t="s" s="673">
        <v>762</v>
      </c>
      <c r="AF12" s="674"/>
      <c r="AG12" s="655"/>
      <c r="AH12" s="681"/>
      <c r="AI12" s="657"/>
      <c r="AJ12" s="657"/>
      <c r="AK12" s="657"/>
      <c r="AL12" s="657"/>
      <c r="AM12" s="657"/>
      <c r="AN12" s="657"/>
      <c r="AO12" s="657"/>
      <c r="AP12" s="658"/>
      <c r="AQ12" s="30"/>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row>
    <row r="13" ht="18" customHeight="1">
      <c r="A13" s="635"/>
      <c r="B13" s="539"/>
      <c r="C13" s="539"/>
      <c r="D13" t="s" s="677">
        <f>LEFT(B13,1)</f>
      </c>
      <c r="E13" s="677">
        <f>IF(C13="",0,(IF(LEN(B13)=5,MID(B13,3,1),MID(B13,3,2))))</f>
        <v>0</v>
      </c>
      <c r="F13" s="677">
        <f>IF(Y13="H","House",IF(Y13="B","Bungalow",IF(Y13="F","Flat",IF(Y13="S","Shared",IF(Y13="T","Bedsit",IF(Y13="A","Wheelchair Flat",IF(Y13="W","Wheelchair",0)))))))</f>
        <v>0</v>
      </c>
      <c r="G13" s="539"/>
      <c r="H13" s="541"/>
      <c r="I13" s="541"/>
      <c r="J13" s="678">
        <v>0.8</v>
      </c>
      <c r="K13" s="679">
        <f>J13*I13</f>
        <v>0</v>
      </c>
      <c r="L13" s="680">
        <f>K13*C13*52</f>
        <v>0</v>
      </c>
      <c r="M13" s="30"/>
      <c r="N13" s="11"/>
      <c r="O13" s="11"/>
      <c r="P13" s="11"/>
      <c r="Q13" s="11"/>
      <c r="R13" s="11"/>
      <c r="S13" s="11"/>
      <c r="T13" s="11"/>
      <c r="U13" s="11"/>
      <c r="V13" s="11"/>
      <c r="W13" s="669"/>
      <c r="X13" s="670"/>
      <c r="Y13" t="s" s="671">
        <f>RIGHT(B13,1)</f>
      </c>
      <c r="Z13" s="672"/>
      <c r="AA13" s="30"/>
      <c r="AB13" s="11"/>
      <c r="AC13" s="11"/>
      <c r="AD13" s="11"/>
      <c r="AE13" t="s" s="673">
        <v>764</v>
      </c>
      <c r="AF13" s="674"/>
      <c r="AG13" s="655"/>
      <c r="AH13" s="675"/>
      <c r="AI13" s="657"/>
      <c r="AJ13" s="657"/>
      <c r="AK13" s="657"/>
      <c r="AL13" s="657"/>
      <c r="AM13" s="657"/>
      <c r="AN13" s="657"/>
      <c r="AO13" s="657"/>
      <c r="AP13" s="658"/>
      <c r="AQ13" s="30"/>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row>
    <row r="14" ht="18" customHeight="1">
      <c r="A14" s="635"/>
      <c r="B14" s="539"/>
      <c r="C14" s="539"/>
      <c r="D14" t="s" s="677">
        <f>LEFT(B14,1)</f>
      </c>
      <c r="E14" s="677">
        <f>IF(C14="",0,(IF(LEN(B14)=5,MID(B14,3,1),MID(B14,3,2))))</f>
        <v>0</v>
      </c>
      <c r="F14" s="677">
        <f>IF(Y14="H","House",IF(Y14="B","Bungalow",IF(Y14="F","Flat",IF(Y14="S","Shared",IF(Y14="T","Bedsit",IF(Y14="A","Wheelchair Flat",IF(Y14="W","Wheelchair",0)))))))</f>
        <v>0</v>
      </c>
      <c r="G14" s="539"/>
      <c r="H14" s="541"/>
      <c r="I14" s="541"/>
      <c r="J14" s="678">
        <v>0.8</v>
      </c>
      <c r="K14" s="679">
        <f>J14*I14</f>
        <v>0</v>
      </c>
      <c r="L14" s="680">
        <f>K14*C14*52</f>
        <v>0</v>
      </c>
      <c r="M14" s="30"/>
      <c r="N14" s="11"/>
      <c r="O14" s="11"/>
      <c r="P14" s="11"/>
      <c r="Q14" s="11"/>
      <c r="R14" s="11"/>
      <c r="S14" s="11"/>
      <c r="T14" s="11"/>
      <c r="U14" s="11"/>
      <c r="V14" s="11"/>
      <c r="W14" s="669"/>
      <c r="X14" s="670"/>
      <c r="Y14" t="s" s="671">
        <f>RIGHT(B14,1)</f>
      </c>
      <c r="Z14" s="672"/>
      <c r="AA14" s="30"/>
      <c r="AB14" s="11"/>
      <c r="AC14" s="11"/>
      <c r="AD14" s="11"/>
      <c r="AE14" t="s" s="673">
        <v>766</v>
      </c>
      <c r="AF14" s="674"/>
      <c r="AG14" s="655"/>
      <c r="AH14" s="682"/>
      <c r="AI14" s="657"/>
      <c r="AJ14" s="657"/>
      <c r="AK14" s="683"/>
      <c r="AL14" s="684"/>
      <c r="AM14" s="682"/>
      <c r="AN14" s="682"/>
      <c r="AO14" s="682"/>
      <c r="AP14" s="685"/>
      <c r="AQ14" s="30"/>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row>
    <row r="15" ht="18" customHeight="1">
      <c r="A15" s="635"/>
      <c r="B15" s="539"/>
      <c r="C15" s="539"/>
      <c r="D15" t="s" s="677">
        <f>LEFT(B15,1)</f>
      </c>
      <c r="E15" s="677">
        <f>IF(C15="",0,(IF(LEN(B15)=5,MID(B15,3,1),MID(B15,3,2))))</f>
        <v>0</v>
      </c>
      <c r="F15" s="677">
        <f>IF(Y15="H","House",IF(Y15="B","Bungalow",IF(Y15="F","Flat",IF(Y15="S","Shared",IF(Y15="T","Bedsit",IF(Y15="A","Wheelchair Flat",IF(Y15="W","Wheelchair",0)))))))</f>
        <v>0</v>
      </c>
      <c r="G15" s="539"/>
      <c r="H15" s="541"/>
      <c r="I15" s="541"/>
      <c r="J15" s="678">
        <v>0.8</v>
      </c>
      <c r="K15" s="679">
        <f>J15*I15</f>
        <v>0</v>
      </c>
      <c r="L15" s="680">
        <f>K15*C15*52</f>
        <v>0</v>
      </c>
      <c r="M15" s="30"/>
      <c r="N15" s="11"/>
      <c r="O15" s="11"/>
      <c r="P15" s="11"/>
      <c r="Q15" s="11"/>
      <c r="R15" s="11"/>
      <c r="S15" s="11"/>
      <c r="T15" s="11"/>
      <c r="U15" s="11"/>
      <c r="V15" s="11"/>
      <c r="W15" s="669"/>
      <c r="X15" s="670"/>
      <c r="Y15" t="s" s="671">
        <f>RIGHT(B15,1)</f>
      </c>
      <c r="Z15" s="672"/>
      <c r="AA15" s="30"/>
      <c r="AB15" s="11"/>
      <c r="AC15" s="11"/>
      <c r="AD15" s="11"/>
      <c r="AE15" t="s" s="673">
        <v>767</v>
      </c>
      <c r="AF15" s="674"/>
      <c r="AG15" s="655"/>
      <c r="AH15" s="682"/>
      <c r="AI15" s="657"/>
      <c r="AJ15" s="657"/>
      <c r="AK15" s="683"/>
      <c r="AL15" s="657"/>
      <c r="AM15" s="675"/>
      <c r="AN15" s="686"/>
      <c r="AO15" s="687"/>
      <c r="AP15" s="658"/>
      <c r="AQ15" s="30"/>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row>
    <row r="16" ht="18" customHeight="1">
      <c r="A16" s="635"/>
      <c r="B16" s="539"/>
      <c r="C16" s="539"/>
      <c r="D16" t="s" s="677">
        <f>LEFT(B16,1)</f>
      </c>
      <c r="E16" s="677">
        <f>IF(C16="",0,(IF(LEN(B16)=5,MID(B16,3,1),MID(B16,3,2))))</f>
        <v>0</v>
      </c>
      <c r="F16" s="677">
        <f>IF(Y16="H","House",IF(Y16="B","Bungalow",IF(Y16="F","Flat",IF(Y16="S","Shared",IF(Y16="T","Bedsit",IF(Y16="A","Wheelchair Flat",IF(Y16="W","Wheelchair",0)))))))</f>
        <v>0</v>
      </c>
      <c r="G16" s="539"/>
      <c r="H16" s="541"/>
      <c r="I16" s="541"/>
      <c r="J16" s="678">
        <v>0.8</v>
      </c>
      <c r="K16" s="679">
        <f>J16*I16</f>
        <v>0</v>
      </c>
      <c r="L16" s="680">
        <f>K16*C16*52</f>
        <v>0</v>
      </c>
      <c r="M16" s="30"/>
      <c r="N16" s="11"/>
      <c r="O16" s="11"/>
      <c r="P16" s="11"/>
      <c r="Q16" s="11"/>
      <c r="R16" s="11"/>
      <c r="S16" s="11"/>
      <c r="T16" s="11"/>
      <c r="U16" s="11"/>
      <c r="V16" s="11"/>
      <c r="W16" s="669"/>
      <c r="X16" s="670"/>
      <c r="Y16" t="s" s="671">
        <f>RIGHT(B16,1)</f>
      </c>
      <c r="Z16" s="672"/>
      <c r="AA16" s="30"/>
      <c r="AB16" s="11"/>
      <c r="AC16" s="11"/>
      <c r="AD16" s="11"/>
      <c r="AE16" t="s" s="673">
        <v>769</v>
      </c>
      <c r="AF16" s="674"/>
      <c r="AG16" s="655"/>
      <c r="AH16" t="s" s="688">
        <v>770</v>
      </c>
      <c r="AI16" s="657"/>
      <c r="AJ16" s="657"/>
      <c r="AK16" s="689">
        <f>'Project Information'!H34</f>
        <v>0.004</v>
      </c>
      <c r="AL16" s="657"/>
      <c r="AM16" s="675"/>
      <c r="AN16" s="686"/>
      <c r="AO16" s="687"/>
      <c r="AP16" s="690"/>
      <c r="AQ16" s="30"/>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row>
    <row r="17" ht="18" customHeight="1">
      <c r="A17" s="635"/>
      <c r="B17" s="539"/>
      <c r="C17" s="539"/>
      <c r="D17" t="s" s="677">
        <f>LEFT(B17,1)</f>
      </c>
      <c r="E17" s="677">
        <f>IF(C17="",0,(IF(LEN(B17)=5,MID(B17,3,1),MID(B17,3,2))))</f>
        <v>0</v>
      </c>
      <c r="F17" s="677">
        <f>IF(Y17="H","House",IF(Y17="B","Bungalow",IF(Y17="F","Flat",IF(Y17="S","Shared",IF(Y17="T","Bedsit",IF(Y17="A","Wheelchair Flat",IF(Y17="W","Wheelchair",0)))))))</f>
        <v>0</v>
      </c>
      <c r="G17" s="539"/>
      <c r="H17" s="541"/>
      <c r="I17" s="541"/>
      <c r="J17" s="678">
        <v>0.8</v>
      </c>
      <c r="K17" s="679">
        <f>J17*I17</f>
        <v>0</v>
      </c>
      <c r="L17" s="680">
        <f>K17*C17*52</f>
        <v>0</v>
      </c>
      <c r="M17" s="30"/>
      <c r="N17" s="11"/>
      <c r="O17" s="11"/>
      <c r="P17" s="11"/>
      <c r="Q17" s="11"/>
      <c r="R17" s="11"/>
      <c r="S17" s="11"/>
      <c r="T17" s="11"/>
      <c r="U17" s="11"/>
      <c r="V17" s="11"/>
      <c r="W17" s="669"/>
      <c r="X17" s="670"/>
      <c r="Y17" t="s" s="671">
        <f>RIGHT(B17,1)</f>
      </c>
      <c r="Z17" s="672"/>
      <c r="AA17" s="30"/>
      <c r="AB17" s="11"/>
      <c r="AC17" s="11"/>
      <c r="AD17" s="11"/>
      <c r="AE17" t="s" s="673">
        <v>772</v>
      </c>
      <c r="AF17" s="674"/>
      <c r="AG17" s="655"/>
      <c r="AH17" t="s" s="688">
        <v>773</v>
      </c>
      <c r="AI17" s="657"/>
      <c r="AJ17" s="657"/>
      <c r="AK17" s="8">
        <f>C21</f>
        <v>5</v>
      </c>
      <c r="AL17" s="657"/>
      <c r="AM17" s="675"/>
      <c r="AN17" s="686"/>
      <c r="AO17" s="687"/>
      <c r="AP17" s="658"/>
      <c r="AQ17" s="30"/>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row>
    <row r="18" ht="18" customHeight="1">
      <c r="A18" s="635"/>
      <c r="B18" s="539"/>
      <c r="C18" s="539"/>
      <c r="D18" t="s" s="677">
        <f>LEFT(B18,1)</f>
      </c>
      <c r="E18" s="677">
        <f>IF(C18="",0,(IF(LEN(B18)=5,MID(B18,3,1),MID(B18,3,2))))</f>
        <v>0</v>
      </c>
      <c r="F18" s="677">
        <f>IF(Y18="H","House",IF(Y18="B","Bungalow",IF(Y18="F","Flat",IF(Y18="S","Shared",IF(Y18="T","Bedsit",IF(Y18="A","Wheelchair Flat",IF(Y18="W","Wheelchair",0)))))))</f>
        <v>0</v>
      </c>
      <c r="G18" s="539"/>
      <c r="H18" s="541"/>
      <c r="I18" s="541"/>
      <c r="J18" s="678">
        <v>0.8</v>
      </c>
      <c r="K18" s="679">
        <f>J18*I18</f>
        <v>0</v>
      </c>
      <c r="L18" s="680">
        <f>K18*C18*52</f>
        <v>0</v>
      </c>
      <c r="M18" s="30"/>
      <c r="N18" s="11"/>
      <c r="O18" s="11"/>
      <c r="P18" s="11"/>
      <c r="Q18" s="11"/>
      <c r="R18" s="11"/>
      <c r="S18" s="11"/>
      <c r="T18" s="11"/>
      <c r="U18" s="11"/>
      <c r="V18" s="11"/>
      <c r="W18" s="669"/>
      <c r="X18" s="670"/>
      <c r="Y18" t="s" s="671">
        <f>RIGHT(B18,1)</f>
      </c>
      <c r="Z18" s="672"/>
      <c r="AA18" s="30"/>
      <c r="AB18" s="11"/>
      <c r="AC18" s="11"/>
      <c r="AD18" s="11"/>
      <c r="AE18" t="s" s="673">
        <v>775</v>
      </c>
      <c r="AF18" s="674"/>
      <c r="AG18" s="655"/>
      <c r="AH18" t="s" s="688">
        <v>776</v>
      </c>
      <c r="AI18" s="657"/>
      <c r="AJ18" s="657"/>
      <c r="AK18" s="691">
        <f>K21</f>
        <v>152</v>
      </c>
      <c r="AL18" s="657"/>
      <c r="AM18" s="675"/>
      <c r="AN18" s="686"/>
      <c r="AO18" s="687"/>
      <c r="AP18" s="658"/>
      <c r="AQ18" s="30"/>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row>
    <row r="19" ht="18" customHeight="1">
      <c r="A19" s="635"/>
      <c r="B19" s="539"/>
      <c r="C19" s="539"/>
      <c r="D19" t="s" s="677">
        <f>LEFT(B19,1)</f>
      </c>
      <c r="E19" s="677">
        <f>IF(C19="",0,(IF(LEN(B19)=5,MID(B19,3,1),MID(B19,3,2))))</f>
        <v>0</v>
      </c>
      <c r="F19" s="677">
        <f>IF(Y19="H","House",IF(Y19="B","Bungalow",IF(Y19="F","Flat",IF(Y19="S","Shared",IF(Y19="T","Bedsit",IF(Y19="A","Wheelchair Flat",IF(Y19="W","Wheelchair",0)))))))</f>
        <v>0</v>
      </c>
      <c r="G19" s="539"/>
      <c r="H19" s="541"/>
      <c r="I19" s="541"/>
      <c r="J19" s="678">
        <v>0.8</v>
      </c>
      <c r="K19" s="679">
        <f>J19*I19</f>
        <v>0</v>
      </c>
      <c r="L19" s="680">
        <f>K19*C19*52</f>
        <v>0</v>
      </c>
      <c r="M19" s="30"/>
      <c r="N19" s="11"/>
      <c r="O19" s="11"/>
      <c r="P19" s="11"/>
      <c r="Q19" s="11"/>
      <c r="R19" s="11"/>
      <c r="S19" s="11"/>
      <c r="T19" s="11"/>
      <c r="U19" s="11"/>
      <c r="V19" s="11"/>
      <c r="W19" s="669"/>
      <c r="X19" s="670"/>
      <c r="Y19" t="s" s="671">
        <f>RIGHT(B19,1)</f>
      </c>
      <c r="Z19" s="672"/>
      <c r="AA19" s="30"/>
      <c r="AB19" s="11"/>
      <c r="AC19" s="11"/>
      <c r="AD19" s="11"/>
      <c r="AE19" t="s" s="673">
        <v>779</v>
      </c>
      <c r="AF19" s="674"/>
      <c r="AG19" s="655"/>
      <c r="AH19" t="s" s="688">
        <v>780</v>
      </c>
      <c r="AI19" s="657"/>
      <c r="AJ19" s="657"/>
      <c r="AK19" s="692">
        <f>'Social Rent'!AO19</f>
        <v>0.02</v>
      </c>
      <c r="AL19" s="657"/>
      <c r="AM19" s="675"/>
      <c r="AN19" s="686"/>
      <c r="AO19" s="687"/>
      <c r="AP19" s="658"/>
      <c r="AQ19" s="30"/>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row>
    <row r="20" ht="18" customHeight="1">
      <c r="A20" s="635"/>
      <c r="B20" s="539"/>
      <c r="C20" s="560"/>
      <c r="D20" t="s" s="693">
        <f>LEFT(B20,1)</f>
      </c>
      <c r="E20" s="694">
        <f>IF(C20="",0,(IF(LEN(B20)=5,MID(B20,3,1),MID(B20,3,2))))</f>
        <v>0</v>
      </c>
      <c r="F20" s="693">
        <f>IF(Y20="H","House",IF(Y20="B","Bungalow",IF(Y20="F","Flat",IF(Y20="S","Shared",IF(Y20="T","Bedsit",IF(Y20="A","Wheelchair Flat",IF(Y20="W","Wheelchair",0)))))))</f>
        <v>0</v>
      </c>
      <c r="G20" s="560"/>
      <c r="H20" s="562"/>
      <c r="I20" s="562"/>
      <c r="J20" s="695">
        <v>0.8</v>
      </c>
      <c r="K20" s="696">
        <f>J20*I20</f>
        <v>0</v>
      </c>
      <c r="L20" s="697">
        <f>K20*C20*52</f>
        <v>0</v>
      </c>
      <c r="M20" s="30"/>
      <c r="N20" s="11"/>
      <c r="O20" s="11"/>
      <c r="P20" s="11"/>
      <c r="Q20" s="11"/>
      <c r="R20" s="11"/>
      <c r="S20" s="11"/>
      <c r="T20" s="11"/>
      <c r="U20" s="11"/>
      <c r="V20" s="11"/>
      <c r="W20" s="669"/>
      <c r="X20" s="670"/>
      <c r="Y20" t="s" s="671">
        <f>RIGHT(B20,1)</f>
      </c>
      <c r="Z20" s="672"/>
      <c r="AA20" s="30"/>
      <c r="AB20" s="11"/>
      <c r="AC20" s="11"/>
      <c r="AD20" s="11"/>
      <c r="AE20" t="s" s="673">
        <v>783</v>
      </c>
      <c r="AF20" s="674"/>
      <c r="AG20" s="655"/>
      <c r="AH20" t="s" s="688">
        <v>784</v>
      </c>
      <c r="AI20" s="657"/>
      <c r="AJ20" s="657"/>
      <c r="AK20" s="698">
        <f>'Project Information'!H32</f>
        <v>424</v>
      </c>
      <c r="AL20" s="683"/>
      <c r="AM20" s="675"/>
      <c r="AN20" s="686"/>
      <c r="AO20" s="687"/>
      <c r="AP20" s="658"/>
      <c r="AQ20" s="30"/>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row>
    <row r="21" ht="18" customHeight="1">
      <c r="A21" s="11"/>
      <c r="B21" t="s" s="699">
        <v>785</v>
      </c>
      <c r="C21" s="700">
        <f>SUM(C11:C20)</f>
        <v>5</v>
      </c>
      <c r="D21" t="s" s="701">
        <v>786</v>
      </c>
      <c r="E21" s="700">
        <f>($C$11*E11)+($C$12*E12)+($C$13*E13)+($C$14*E14)+($C$15*E15)+($C$16*E16)+($C$17*E17)+($C$18*E18)+($C$19*E19)+($C$20*E20)</f>
        <v>18</v>
      </c>
      <c r="F21" s="702"/>
      <c r="G21" s="703">
        <f>($C$11*G11)+($C$12*G12)+($C$13*G13)+($C$14*G14)+($C$15*G15)+($C$16*G16)+($C$17*G17)+($C$18*G18)+($C$19*G19)+($C$20*G20)</f>
        <v>385</v>
      </c>
      <c r="H21" s="703">
        <f>($C$11*H11)+($C$12*H12)+($C$13*H13)+($C$14*H14)+($C$15*H15)+($C$16*H16)+($C$17*H17)+($C$18*H18)+($C$19*H19)+($C$20*H20)</f>
        <v>950000</v>
      </c>
      <c r="I21" s="703"/>
      <c r="J21" s="703"/>
      <c r="K21" s="704">
        <f>(L21/C21)/52</f>
        <v>152</v>
      </c>
      <c r="L21" s="705">
        <f>SUM(L11:L20)</f>
        <v>39520</v>
      </c>
      <c r="M21" s="706"/>
      <c r="N21" s="11"/>
      <c r="O21" s="11"/>
      <c r="P21" s="11"/>
      <c r="Q21" s="11"/>
      <c r="R21" s="11"/>
      <c r="S21" s="11"/>
      <c r="T21" s="11"/>
      <c r="U21" s="11"/>
      <c r="V21" s="11"/>
      <c r="W21" s="669"/>
      <c r="X21" s="670"/>
      <c r="Y21" s="11"/>
      <c r="Z21" s="672"/>
      <c r="AA21" s="30"/>
      <c r="AB21" s="11"/>
      <c r="AC21" s="11"/>
      <c r="AD21" s="11"/>
      <c r="AE21" t="s" s="673">
        <v>788</v>
      </c>
      <c r="AF21" s="674"/>
      <c r="AG21" s="655"/>
      <c r="AH21" t="s" s="688">
        <v>789</v>
      </c>
      <c r="AI21" s="657"/>
      <c r="AJ21" s="657"/>
      <c r="AK21" s="698">
        <f>'Project Information'!H33</f>
        <v>768</v>
      </c>
      <c r="AL21" s="683"/>
      <c r="AM21" s="675"/>
      <c r="AN21" s="686"/>
      <c r="AO21" s="687"/>
      <c r="AP21" s="658"/>
      <c r="AQ21" s="30"/>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row>
    <row r="22" ht="18" customHeight="1">
      <c r="A22" s="11"/>
      <c r="B22" s="11"/>
      <c r="C22" s="707"/>
      <c r="D22" s="11"/>
      <c r="E22" s="707"/>
      <c r="F22" s="11"/>
      <c r="G22" s="707"/>
      <c r="H22" s="707"/>
      <c r="I22" s="707"/>
      <c r="J22" s="707"/>
      <c r="K22" s="707"/>
      <c r="L22" s="707"/>
      <c r="M22" s="11"/>
      <c r="N22" s="11"/>
      <c r="O22" s="11"/>
      <c r="P22" s="11"/>
      <c r="Q22" s="11"/>
      <c r="R22" s="11"/>
      <c r="S22" s="11"/>
      <c r="T22" s="11"/>
      <c r="U22" s="11"/>
      <c r="V22" s="11"/>
      <c r="W22" s="669"/>
      <c r="X22" s="670"/>
      <c r="Y22" s="11"/>
      <c r="Z22" s="672"/>
      <c r="AA22" s="30"/>
      <c r="AB22" s="11"/>
      <c r="AC22" s="11"/>
      <c r="AD22" s="11"/>
      <c r="AE22" t="s" s="673">
        <v>792</v>
      </c>
      <c r="AF22" s="674"/>
      <c r="AG22" s="655"/>
      <c r="AH22" t="s" s="688">
        <v>793</v>
      </c>
      <c r="AI22" s="657"/>
      <c r="AJ22" s="657"/>
      <c r="AK22" s="565">
        <f>IF(C21=0,0,(AK16*('Summary'!D23+'Summary'!D24)/'Summary'!E16)*-1)</f>
        <v>511.5</v>
      </c>
      <c r="AL22" s="657"/>
      <c r="AM22" s="675"/>
      <c r="AN22" s="686"/>
      <c r="AO22" s="687"/>
      <c r="AP22" s="658"/>
      <c r="AQ22" s="30"/>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row>
    <row r="23" ht="18" customHeight="1">
      <c r="A23" s="11"/>
      <c r="B23" s="11"/>
      <c r="C23" s="11"/>
      <c r="D23" s="11"/>
      <c r="E23" s="18"/>
      <c r="F23" s="11"/>
      <c r="G23" s="11"/>
      <c r="H23" s="11"/>
      <c r="I23" s="11"/>
      <c r="J23" s="11"/>
      <c r="K23" s="11"/>
      <c r="L23" s="11"/>
      <c r="M23" s="11"/>
      <c r="N23" s="11"/>
      <c r="O23" s="11"/>
      <c r="P23" s="11"/>
      <c r="Q23" s="11"/>
      <c r="R23" s="11"/>
      <c r="S23" s="11"/>
      <c r="T23" s="11"/>
      <c r="U23" s="11"/>
      <c r="V23" s="11"/>
      <c r="W23" s="669"/>
      <c r="X23" s="670"/>
      <c r="Y23" s="11"/>
      <c r="Z23" s="672"/>
      <c r="AA23" s="30"/>
      <c r="AB23" s="11"/>
      <c r="AC23" s="11"/>
      <c r="AD23" s="11"/>
      <c r="AE23" t="s" s="673">
        <v>794</v>
      </c>
      <c r="AF23" s="674"/>
      <c r="AG23" s="655"/>
      <c r="AH23" t="s" s="688">
        <v>795</v>
      </c>
      <c r="AI23" s="657"/>
      <c r="AJ23" s="657"/>
      <c r="AK23" s="689">
        <f>'Social Rent'!AO23</f>
        <v>0.03</v>
      </c>
      <c r="AL23" s="657"/>
      <c r="AM23" s="657"/>
      <c r="AN23" s="686"/>
      <c r="AO23" s="657"/>
      <c r="AP23" s="658"/>
      <c r="AQ23" s="30"/>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row>
    <row r="24" ht="18" customHeight="1" hidden="1">
      <c r="A24" s="11"/>
      <c r="B24" s="11"/>
      <c r="C24" s="11"/>
      <c r="D24" s="11"/>
      <c r="E24" s="11"/>
      <c r="F24" s="11"/>
      <c r="G24" s="11"/>
      <c r="H24" s="11"/>
      <c r="I24" s="11"/>
      <c r="J24" s="11"/>
      <c r="K24" s="11"/>
      <c r="L24" s="11"/>
      <c r="M24" s="11"/>
      <c r="N24" s="11"/>
      <c r="O24" s="11"/>
      <c r="P24" s="11"/>
      <c r="Q24" s="11"/>
      <c r="R24" s="11"/>
      <c r="S24" s="11"/>
      <c r="T24" s="11"/>
      <c r="U24" s="11"/>
      <c r="V24" s="11"/>
      <c r="W24" s="669"/>
      <c r="X24" s="670"/>
      <c r="Y24" s="11"/>
      <c r="Z24" s="672"/>
      <c r="AA24" s="30"/>
      <c r="AB24" s="11"/>
      <c r="AC24" s="11"/>
      <c r="AD24" s="11"/>
      <c r="AE24" t="s" s="673">
        <v>797</v>
      </c>
      <c r="AF24" s="674"/>
      <c r="AG24" s="655"/>
      <c r="AH24" t="s" s="7">
        <v>798</v>
      </c>
      <c r="AI24" s="657"/>
      <c r="AJ24" s="657"/>
      <c r="AK24" s="689">
        <v>0.03</v>
      </c>
      <c r="AL24" s="657"/>
      <c r="AM24" s="657"/>
      <c r="AN24" s="708"/>
      <c r="AO24" s="657"/>
      <c r="AP24" s="658"/>
      <c r="AQ24" s="30"/>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row>
    <row r="25" ht="21" customHeight="1" hidden="1">
      <c r="A25" s="11"/>
      <c r="B25" s="11"/>
      <c r="C25" s="11"/>
      <c r="D25" s="11"/>
      <c r="E25" s="9"/>
      <c r="F25" s="9"/>
      <c r="G25" s="9"/>
      <c r="H25" s="9"/>
      <c r="I25" s="9"/>
      <c r="J25" s="9"/>
      <c r="K25" s="709"/>
      <c r="L25" s="11"/>
      <c r="M25" s="11"/>
      <c r="N25" s="11"/>
      <c r="O25" s="11"/>
      <c r="P25" s="11"/>
      <c r="Q25" s="11"/>
      <c r="R25" s="11"/>
      <c r="S25" s="11"/>
      <c r="T25" s="11"/>
      <c r="U25" s="11"/>
      <c r="V25" s="11"/>
      <c r="W25" s="669"/>
      <c r="X25" s="670"/>
      <c r="Y25" s="11"/>
      <c r="Z25" s="672"/>
      <c r="AA25" s="30"/>
      <c r="AB25" s="11"/>
      <c r="AC25" s="11"/>
      <c r="AD25" s="11"/>
      <c r="AE25" t="s" s="673">
        <v>800</v>
      </c>
      <c r="AF25" s="674"/>
      <c r="AG25" s="655"/>
      <c r="AH25" t="s" s="7">
        <v>801</v>
      </c>
      <c r="AI25" s="657"/>
      <c r="AJ25" s="657"/>
      <c r="AK25" s="689">
        <v>0.03</v>
      </c>
      <c r="AL25" s="657"/>
      <c r="AM25" s="657"/>
      <c r="AN25" s="710">
        <f>AD15</f>
        <v>0</v>
      </c>
      <c r="AO25" s="711"/>
      <c r="AP25" s="658"/>
      <c r="AQ25" s="30"/>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row>
    <row r="26" ht="18" customHeight="1" hidden="1">
      <c r="A26" s="11"/>
      <c r="B26" s="11"/>
      <c r="C26" s="11"/>
      <c r="D26" s="11"/>
      <c r="E26" s="10"/>
      <c r="F26" s="9"/>
      <c r="G26" s="9"/>
      <c r="H26" s="9"/>
      <c r="I26" s="9"/>
      <c r="J26" s="9"/>
      <c r="K26" s="709"/>
      <c r="L26" s="11"/>
      <c r="M26" s="11"/>
      <c r="N26" s="11"/>
      <c r="O26" s="11"/>
      <c r="P26" s="11"/>
      <c r="Q26" s="11"/>
      <c r="R26" s="11"/>
      <c r="S26" s="11"/>
      <c r="T26" s="11"/>
      <c r="U26" s="11"/>
      <c r="V26" s="11"/>
      <c r="W26" s="669"/>
      <c r="X26" s="670"/>
      <c r="Y26" s="11"/>
      <c r="Z26" s="672"/>
      <c r="AA26" s="30"/>
      <c r="AB26" s="11"/>
      <c r="AC26" s="11"/>
      <c r="AD26" s="11"/>
      <c r="AE26" t="s" s="673">
        <v>802</v>
      </c>
      <c r="AF26" s="674"/>
      <c r="AG26" s="655"/>
      <c r="AH26" t="s" s="7">
        <v>910</v>
      </c>
      <c r="AI26" s="657"/>
      <c r="AJ26" s="657"/>
      <c r="AK26" s="689">
        <v>0.03</v>
      </c>
      <c r="AL26" s="657"/>
      <c r="AM26" s="657"/>
      <c r="AN26" s="657"/>
      <c r="AO26" s="657"/>
      <c r="AP26" s="658"/>
      <c r="AQ26" s="30"/>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row>
    <row r="27" ht="18" customHeight="1" hidden="1">
      <c r="A27" s="11"/>
      <c r="B27" s="11"/>
      <c r="C27" s="11"/>
      <c r="D27" s="11"/>
      <c r="E27" s="11"/>
      <c r="F27" s="11"/>
      <c r="G27" s="11"/>
      <c r="H27" s="11"/>
      <c r="I27" s="11"/>
      <c r="J27" s="11"/>
      <c r="K27" s="9"/>
      <c r="L27" s="11"/>
      <c r="M27" s="11"/>
      <c r="N27" s="11"/>
      <c r="O27" s="11"/>
      <c r="P27" s="11"/>
      <c r="Q27" s="11"/>
      <c r="R27" s="11"/>
      <c r="S27" s="11"/>
      <c r="T27" s="11"/>
      <c r="U27" s="11"/>
      <c r="V27" s="11"/>
      <c r="W27" s="669"/>
      <c r="X27" s="670"/>
      <c r="Y27" s="11"/>
      <c r="Z27" s="672"/>
      <c r="AA27" s="30"/>
      <c r="AB27" s="11"/>
      <c r="AC27" s="11"/>
      <c r="AD27" s="11"/>
      <c r="AE27" t="s" s="673">
        <v>805</v>
      </c>
      <c r="AF27" s="674"/>
      <c r="AG27" s="655"/>
      <c r="AH27" t="s" s="712">
        <v>806</v>
      </c>
      <c r="AI27" s="657"/>
      <c r="AJ27" s="657"/>
      <c r="AK27" s="8">
        <v>60</v>
      </c>
      <c r="AL27" s="657"/>
      <c r="AM27" s="657"/>
      <c r="AN27" s="657"/>
      <c r="AO27" s="657"/>
      <c r="AP27" s="658"/>
      <c r="AQ27" s="30"/>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row>
    <row r="28" ht="18" customHeight="1" hidden="1">
      <c r="A28" s="11"/>
      <c r="B28" s="11"/>
      <c r="C28" s="11"/>
      <c r="D28" s="11"/>
      <c r="E28" s="713"/>
      <c r="F28" s="714"/>
      <c r="G28" s="715"/>
      <c r="H28" s="716"/>
      <c r="I28" s="716"/>
      <c r="J28" s="716"/>
      <c r="K28" s="11"/>
      <c r="L28" s="11"/>
      <c r="M28" s="11"/>
      <c r="N28" s="11"/>
      <c r="O28" s="11"/>
      <c r="P28" s="11"/>
      <c r="Q28" s="11"/>
      <c r="R28" s="11"/>
      <c r="S28" s="11"/>
      <c r="T28" s="11"/>
      <c r="U28" s="11"/>
      <c r="V28" s="11"/>
      <c r="W28" s="669"/>
      <c r="X28" s="670"/>
      <c r="Y28" s="11"/>
      <c r="Z28" s="672"/>
      <c r="AA28" s="30"/>
      <c r="AB28" s="11"/>
      <c r="AC28" s="11"/>
      <c r="AD28" s="11"/>
      <c r="AE28" t="s" s="673">
        <v>808</v>
      </c>
      <c r="AF28" s="674"/>
      <c r="AG28" s="655"/>
      <c r="AH28" t="s" s="717">
        <v>809</v>
      </c>
      <c r="AI28" s="657"/>
      <c r="AJ28" s="657"/>
      <c r="AK28" s="689">
        <f>'Project Information'!H29</f>
        <v>0.06</v>
      </c>
      <c r="AL28" s="657"/>
      <c r="AM28" s="657"/>
      <c r="AN28" s="657"/>
      <c r="AO28" s="657"/>
      <c r="AP28" s="658"/>
      <c r="AQ28" s="30"/>
      <c r="AR28" s="11"/>
      <c r="AS28" s="11"/>
      <c r="AT28" t="s" s="671">
        <v>810</v>
      </c>
      <c r="AU28" t="s" s="671">
        <v>811</v>
      </c>
      <c r="AV28" s="11"/>
      <c r="AW28" s="229">
        <f>$AH39</f>
        <v>39520</v>
      </c>
      <c r="AX28" s="229">
        <f>$AH40</f>
        <v>40705.6</v>
      </c>
      <c r="AY28" s="229">
        <f>$AH41</f>
        <v>41926.768</v>
      </c>
      <c r="AZ28" s="229">
        <f>$AH42</f>
        <v>43184.57104</v>
      </c>
      <c r="BA28" s="229">
        <f>$AH43</f>
        <v>44480.108171199994</v>
      </c>
      <c r="BB28" s="229">
        <f>$AH44</f>
        <v>45814.511416336</v>
      </c>
      <c r="BC28" s="229">
        <f>$AH45</f>
        <v>47188.946758826081</v>
      </c>
      <c r="BD28" s="229">
        <f>$AH46</f>
        <v>48604.615161590868</v>
      </c>
      <c r="BE28" s="229">
        <f>$AH47</f>
        <v>50062.7536164386</v>
      </c>
      <c r="BF28" s="229">
        <f>$AH48</f>
        <v>51564.636224931754</v>
      </c>
      <c r="BG28" s="229">
        <f>$AH49</f>
        <v>53111.575311679706</v>
      </c>
      <c r="BH28" s="229">
        <f>$AH50</f>
        <v>54704.9225710301</v>
      </c>
      <c r="BI28" s="229">
        <f>$AH51</f>
        <v>56346.070248161</v>
      </c>
      <c r="BJ28" s="229">
        <f>$AH52</f>
        <v>58036.452355605827</v>
      </c>
      <c r="BK28" s="229">
        <f>$AH53</f>
        <v>59777.545926274</v>
      </c>
      <c r="BL28" s="229">
        <f>$AH54</f>
        <v>61570.872304062228</v>
      </c>
      <c r="BM28" s="229">
        <f>$AH55</f>
        <v>63417.9984731841</v>
      </c>
      <c r="BN28" s="229">
        <f>$AH56</f>
        <v>65320.538427379623</v>
      </c>
      <c r="BO28" s="229">
        <f>$AH57</f>
        <v>67280.154580201008</v>
      </c>
      <c r="BP28" s="229">
        <f>$AH58</f>
        <v>69298.559217607035</v>
      </c>
      <c r="BQ28" s="229">
        <f>$AH59</f>
        <v>71377.515994135247</v>
      </c>
      <c r="BR28" s="229">
        <f>$AH60</f>
        <v>73518.8414739593</v>
      </c>
      <c r="BS28" s="229">
        <f>$AH61</f>
        <v>75724.406718178085</v>
      </c>
      <c r="BT28" s="229">
        <f>$AH62</f>
        <v>77996.138919723424</v>
      </c>
      <c r="BU28" s="229">
        <f>$AH63</f>
        <v>80336.023087315130</v>
      </c>
      <c r="BV28" s="229">
        <f>$AH64</f>
        <v>82746.103779934580</v>
      </c>
      <c r="BW28" s="229">
        <f>$AH65</f>
        <v>85228.486893332622</v>
      </c>
      <c r="BX28" s="229">
        <f>$AH66</f>
        <v>87785.341500132607</v>
      </c>
      <c r="BY28" s="229">
        <f>$AH67</f>
        <v>90418.901745136594</v>
      </c>
      <c r="BZ28" s="229">
        <f>$AH68</f>
        <v>93131.4687974907</v>
      </c>
      <c r="CA28" s="229">
        <f>$AH69</f>
        <v>95925.412861415418</v>
      </c>
      <c r="CB28" s="229">
        <f>$AH70</f>
        <v>98803.175247257881</v>
      </c>
      <c r="CC28" s="229">
        <f>$AH71</f>
        <v>101767.2705046756</v>
      </c>
      <c r="CD28" s="229">
        <f>$AH72</f>
        <v>104820.2886198159</v>
      </c>
      <c r="CE28" s="229">
        <f>$AH73</f>
        <v>107964.8972784104</v>
      </c>
      <c r="CF28" s="229">
        <f>$AH74</f>
        <v>111203.8441967627</v>
      </c>
      <c r="CG28" s="229">
        <f>$AH75</f>
        <v>114539.9595226656</v>
      </c>
      <c r="CH28" s="229">
        <f>$AH76</f>
        <v>117976.1583083455</v>
      </c>
      <c r="CI28" s="229">
        <f>$AH77</f>
        <v>121515.4430575959</v>
      </c>
      <c r="CJ28" s="229">
        <f>$AH78</f>
        <v>125160.9063493238</v>
      </c>
      <c r="CK28" s="229">
        <f>$AH79</f>
        <v>128915.7335398035</v>
      </c>
      <c r="CL28" s="229">
        <f>$AH80</f>
        <v>132783.2055459976</v>
      </c>
      <c r="CM28" s="229">
        <f>$AH81</f>
        <v>136766.7017123775</v>
      </c>
      <c r="CN28" s="229">
        <f>$AH82</f>
        <v>140869.7027637488</v>
      </c>
      <c r="CO28" s="229">
        <f>$AH83</f>
        <v>145095.7938466613</v>
      </c>
      <c r="CP28" s="229">
        <f>$AH84</f>
        <v>149448.6676620612</v>
      </c>
      <c r="CQ28" s="229">
        <f>$AH85</f>
        <v>153932.127691923</v>
      </c>
      <c r="CR28" s="229">
        <f>$AH86</f>
        <v>158550.0915226807</v>
      </c>
      <c r="CS28" s="229">
        <f>$AH87</f>
        <v>163306.5942683611</v>
      </c>
      <c r="CT28" s="229">
        <f>$AH88</f>
        <v>168205.792096412</v>
      </c>
    </row>
    <row r="29" ht="18" customHeight="1" hidden="1">
      <c r="A29" s="11"/>
      <c r="B29" s="11"/>
      <c r="C29" s="11"/>
      <c r="D29" s="11"/>
      <c r="E29" s="718"/>
      <c r="F29" s="719"/>
      <c r="G29" s="720"/>
      <c r="H29" s="715"/>
      <c r="I29" s="715"/>
      <c r="J29" s="715"/>
      <c r="K29" s="11"/>
      <c r="L29" s="11"/>
      <c r="M29" s="11"/>
      <c r="N29" s="11"/>
      <c r="O29" s="11"/>
      <c r="P29" s="11"/>
      <c r="Q29" s="11"/>
      <c r="R29" s="11"/>
      <c r="S29" s="11"/>
      <c r="T29" s="11"/>
      <c r="U29" s="11"/>
      <c r="V29" s="11"/>
      <c r="W29" s="669"/>
      <c r="X29" s="670"/>
      <c r="Y29" s="11"/>
      <c r="Z29" s="672"/>
      <c r="AA29" s="30"/>
      <c r="AB29" s="11"/>
      <c r="AC29" s="11"/>
      <c r="AD29" s="11"/>
      <c r="AE29" t="s" s="673">
        <v>812</v>
      </c>
      <c r="AF29" s="674"/>
      <c r="AG29" s="655"/>
      <c r="AH29" s="683"/>
      <c r="AI29" s="657"/>
      <c r="AJ29" s="657"/>
      <c r="AK29" s="689"/>
      <c r="AL29" s="657"/>
      <c r="AM29" s="657"/>
      <c r="AN29" s="657"/>
      <c r="AO29" s="657"/>
      <c r="AP29" s="658"/>
      <c r="AQ29" s="30"/>
      <c r="AR29" s="11"/>
      <c r="AS29" s="11"/>
      <c r="AT29" t="s" s="671">
        <v>175</v>
      </c>
      <c r="AU29" s="11"/>
      <c r="AV29" s="11"/>
      <c r="AW29" s="229">
        <f>AI39</f>
        <v>-790</v>
      </c>
      <c r="AX29" s="229">
        <f>$AI40</f>
        <v>-814</v>
      </c>
      <c r="AY29" s="229">
        <f>$AI41</f>
        <v>-839</v>
      </c>
      <c r="AZ29" s="229">
        <f>$AI42</f>
        <v>-864</v>
      </c>
      <c r="BA29" s="229">
        <f>$AI43</f>
        <v>-890</v>
      </c>
      <c r="BB29" s="229">
        <f>$AI44</f>
        <v>-916</v>
      </c>
      <c r="BC29" s="229">
        <f>$AI45</f>
        <v>-944</v>
      </c>
      <c r="BD29" s="229">
        <f>$AI46</f>
        <v>-972</v>
      </c>
      <c r="BE29" s="229">
        <f>$AI47</f>
        <v>-1001</v>
      </c>
      <c r="BF29" s="229">
        <f>$AI48</f>
        <v>-1031</v>
      </c>
      <c r="BG29" s="229">
        <f>$AI49</f>
        <v>-1062</v>
      </c>
      <c r="BH29" s="229">
        <f>$AI50</f>
        <v>-1094</v>
      </c>
      <c r="BI29" s="229">
        <f>$AI51</f>
        <v>-1127</v>
      </c>
      <c r="BJ29" s="229">
        <f>$AI52</f>
        <v>-1161</v>
      </c>
      <c r="BK29" s="229">
        <f>$AI53</f>
        <v>-1196</v>
      </c>
      <c r="BL29" s="229">
        <f>$AI54</f>
        <v>-1231</v>
      </c>
      <c r="BM29" s="229">
        <f>$AI55</f>
        <v>-1268</v>
      </c>
      <c r="BN29" s="229">
        <f>$AI56</f>
        <v>-1306</v>
      </c>
      <c r="BO29" s="229">
        <f>$AI57</f>
        <v>-1346</v>
      </c>
      <c r="BP29" s="229">
        <f>$AI58</f>
        <v>-1386</v>
      </c>
      <c r="BQ29" s="229">
        <f>$AI59</f>
        <v>-1428</v>
      </c>
      <c r="BR29" s="229">
        <f>$AI60</f>
        <v>-1470</v>
      </c>
      <c r="BS29" s="229">
        <f>$AI61</f>
        <v>-1514</v>
      </c>
      <c r="BT29" s="229">
        <f>$AI62</f>
        <v>-1560</v>
      </c>
      <c r="BU29" s="229">
        <f>$AI63</f>
        <v>-1607</v>
      </c>
      <c r="BV29" s="229">
        <f>$AI64</f>
        <v>-1655</v>
      </c>
      <c r="BW29" s="229">
        <f>$AI65</f>
        <v>-1705</v>
      </c>
      <c r="BX29" s="229">
        <f>$AI66</f>
        <v>-1756</v>
      </c>
      <c r="BY29" s="229">
        <f>$AI67</f>
        <v>-1808</v>
      </c>
      <c r="BZ29" s="229">
        <f>$AI68</f>
        <v>-1863</v>
      </c>
      <c r="CA29" s="229">
        <f>$AI69</f>
        <v>-1919</v>
      </c>
      <c r="CB29" s="229">
        <f>$AI70</f>
        <v>-1976</v>
      </c>
      <c r="CC29" s="229">
        <f>$AI71</f>
        <v>-2035</v>
      </c>
      <c r="CD29" s="229">
        <f>$AI72</f>
        <v>-2096</v>
      </c>
      <c r="CE29" s="229">
        <f>$AI73</f>
        <v>-2159</v>
      </c>
      <c r="CF29" s="229">
        <f>$AI74</f>
        <v>-2224</v>
      </c>
      <c r="CG29" s="229">
        <f>$AI75</f>
        <v>-2291</v>
      </c>
      <c r="CH29" s="229">
        <f>$AI76</f>
        <v>-2360</v>
      </c>
      <c r="CI29" s="229">
        <f>$AI77</f>
        <v>-2430</v>
      </c>
      <c r="CJ29" s="229">
        <f>$AI78</f>
        <v>-2503</v>
      </c>
      <c r="CK29" s="229">
        <f>$AI79</f>
        <v>-2578</v>
      </c>
      <c r="CL29" s="229">
        <f>$AI80</f>
        <v>-2656</v>
      </c>
      <c r="CM29" s="229">
        <f>$AI81</f>
        <v>-2735</v>
      </c>
      <c r="CN29" s="229">
        <f>$AI82</f>
        <v>-2817</v>
      </c>
      <c r="CO29" s="229">
        <f>$AI83</f>
        <v>-2902</v>
      </c>
      <c r="CP29" s="229">
        <f>$AI84</f>
        <v>-2989</v>
      </c>
      <c r="CQ29" s="229">
        <f>$AI85</f>
        <v>-3079</v>
      </c>
      <c r="CR29" s="229">
        <f>$AI86</f>
        <v>-3171</v>
      </c>
      <c r="CS29" s="229">
        <f>$AI87</f>
        <v>-3266</v>
      </c>
      <c r="CT29" s="229">
        <f>$AI88</f>
        <v>-3364</v>
      </c>
    </row>
    <row r="30" ht="18" customHeight="1" hidden="1">
      <c r="A30" s="11"/>
      <c r="B30" s="11"/>
      <c r="C30" s="11"/>
      <c r="D30" s="11"/>
      <c r="E30" s="721"/>
      <c r="F30" s="722"/>
      <c r="G30" s="722"/>
      <c r="H30" s="715"/>
      <c r="I30" s="715"/>
      <c r="J30" s="715"/>
      <c r="K30" s="11"/>
      <c r="L30" s="11"/>
      <c r="M30" s="11"/>
      <c r="N30" s="11"/>
      <c r="O30" s="11"/>
      <c r="P30" s="11"/>
      <c r="Q30" s="11"/>
      <c r="R30" s="11"/>
      <c r="S30" s="11"/>
      <c r="T30" s="11"/>
      <c r="U30" s="11"/>
      <c r="V30" s="11"/>
      <c r="W30" s="669"/>
      <c r="X30" s="670"/>
      <c r="Y30" s="11"/>
      <c r="Z30" s="672"/>
      <c r="AA30" s="30"/>
      <c r="AB30" s="11"/>
      <c r="AC30" s="11"/>
      <c r="AD30" s="11"/>
      <c r="AE30" t="s" s="673">
        <v>813</v>
      </c>
      <c r="AF30" s="674"/>
      <c r="AG30" s="106"/>
      <c r="AH30" s="127"/>
      <c r="AI30" s="86"/>
      <c r="AJ30" s="86"/>
      <c r="AK30" s="723"/>
      <c r="AL30" s="86"/>
      <c r="AM30" s="86"/>
      <c r="AN30" s="86"/>
      <c r="AO30" t="s" s="724">
        <v>911</v>
      </c>
      <c r="AP30" s="725"/>
      <c r="AQ30" s="30"/>
      <c r="AR30" s="11"/>
      <c r="AS30" s="11"/>
      <c r="AT30" t="s" s="671">
        <v>814</v>
      </c>
      <c r="AU30" s="11"/>
      <c r="AV30" s="11"/>
      <c r="AW30" s="229">
        <f>AJ39</f>
        <v>-2120</v>
      </c>
      <c r="AX30" s="229">
        <f>$AJ40</f>
        <v>-2184</v>
      </c>
      <c r="AY30" s="229">
        <f>$AJ41</f>
        <v>-2250</v>
      </c>
      <c r="AZ30" s="229">
        <f>$AJ42</f>
        <v>-2318</v>
      </c>
      <c r="BA30" s="229">
        <f>$AJ43</f>
        <v>-2388</v>
      </c>
      <c r="BB30" s="229">
        <f>$AJ44</f>
        <v>-2460</v>
      </c>
      <c r="BC30" s="229">
        <f>$AJ45</f>
        <v>-2534</v>
      </c>
      <c r="BD30" s="229">
        <f>$AJ46</f>
        <v>-2610</v>
      </c>
      <c r="BE30" s="229">
        <f>$AJ47</f>
        <v>-2688</v>
      </c>
      <c r="BF30" s="229">
        <f>$AJ48</f>
        <v>-2769</v>
      </c>
      <c r="BG30" s="229">
        <f>$AJ49</f>
        <v>-2852</v>
      </c>
      <c r="BH30" s="229">
        <f>$AJ50</f>
        <v>-2938</v>
      </c>
      <c r="BI30" s="229">
        <f>$AJ51</f>
        <v>-3026</v>
      </c>
      <c r="BJ30" s="229">
        <f>$AJ52</f>
        <v>-3117</v>
      </c>
      <c r="BK30" s="229">
        <f>$AJ53</f>
        <v>-3211</v>
      </c>
      <c r="BL30" s="229">
        <f>$AJ54</f>
        <v>-3307</v>
      </c>
      <c r="BM30" s="229">
        <f>$AJ55</f>
        <v>-3406</v>
      </c>
      <c r="BN30" s="229">
        <f>$AJ56</f>
        <v>-3508</v>
      </c>
      <c r="BO30" s="229">
        <f>$AJ57</f>
        <v>-3613</v>
      </c>
      <c r="BP30" s="229">
        <f>$AJ58</f>
        <v>-3721</v>
      </c>
      <c r="BQ30" s="229">
        <f>$AJ59</f>
        <v>-3833</v>
      </c>
      <c r="BR30" s="229">
        <f>$AJ60</f>
        <v>-3948</v>
      </c>
      <c r="BS30" s="229">
        <f>$AJ61</f>
        <v>-4066</v>
      </c>
      <c r="BT30" s="229">
        <f>$AJ62</f>
        <v>-4188</v>
      </c>
      <c r="BU30" s="229">
        <f>$AJ63</f>
        <v>-4314</v>
      </c>
      <c r="BV30" s="229">
        <f>$AJ64</f>
        <v>-4443</v>
      </c>
      <c r="BW30" s="229">
        <f>$AJ65</f>
        <v>-4576</v>
      </c>
      <c r="BX30" s="229">
        <f>$AJ66</f>
        <v>-4713</v>
      </c>
      <c r="BY30" s="229">
        <f>$AJ67</f>
        <v>-4854</v>
      </c>
      <c r="BZ30" s="229">
        <f>$AJ68</f>
        <v>-5000</v>
      </c>
      <c r="CA30" s="229">
        <f>$AJ69</f>
        <v>-5150</v>
      </c>
      <c r="CB30" s="229">
        <f>$AJ70</f>
        <v>-5305</v>
      </c>
      <c r="CC30" s="229">
        <f>$AJ71</f>
        <v>-5464</v>
      </c>
      <c r="CD30" s="229">
        <f>$AJ72</f>
        <v>-5628</v>
      </c>
      <c r="CE30" s="229">
        <f>$AJ73</f>
        <v>-5797</v>
      </c>
      <c r="CF30" s="229">
        <f>$AJ74</f>
        <v>-5971</v>
      </c>
      <c r="CG30" s="229">
        <f>$AJ75</f>
        <v>-6150</v>
      </c>
      <c r="CH30" s="229">
        <f>$AJ76</f>
        <v>-6335</v>
      </c>
      <c r="CI30" s="229">
        <f>$AJ77</f>
        <v>-6525</v>
      </c>
      <c r="CJ30" s="229">
        <f>$AJ78</f>
        <v>-6721</v>
      </c>
      <c r="CK30" s="229">
        <f>$AJ79</f>
        <v>-6923</v>
      </c>
      <c r="CL30" s="229">
        <f>$AJ80</f>
        <v>-7131</v>
      </c>
      <c r="CM30" s="229">
        <f>$AJ81</f>
        <v>-7345</v>
      </c>
      <c r="CN30" s="229">
        <f>$AJ82</f>
        <v>-7565</v>
      </c>
      <c r="CO30" s="229">
        <f>$AJ83</f>
        <v>-7792</v>
      </c>
      <c r="CP30" s="229">
        <f>$AJ84</f>
        <v>-8026</v>
      </c>
      <c r="CQ30" s="229">
        <f>$AJ85</f>
        <v>-8267</v>
      </c>
      <c r="CR30" s="229">
        <f>$AJ86</f>
        <v>-8515</v>
      </c>
      <c r="CS30" s="229">
        <f>$AJ87</f>
        <v>-8770</v>
      </c>
      <c r="CT30" s="229">
        <f>$AJ88</f>
        <v>-9033</v>
      </c>
    </row>
    <row r="31" ht="18" customHeight="1" hidden="1">
      <c r="A31" s="11"/>
      <c r="B31" s="11"/>
      <c r="C31" s="11"/>
      <c r="D31" s="11"/>
      <c r="E31" s="726"/>
      <c r="F31" s="727"/>
      <c r="G31" s="722"/>
      <c r="H31" s="722"/>
      <c r="I31" s="722"/>
      <c r="J31" s="722"/>
      <c r="K31" s="11"/>
      <c r="L31" s="11"/>
      <c r="M31" s="11"/>
      <c r="N31" s="11"/>
      <c r="O31" s="11"/>
      <c r="P31" s="11"/>
      <c r="Q31" s="11"/>
      <c r="R31" s="11"/>
      <c r="S31" s="11"/>
      <c r="T31" s="11"/>
      <c r="U31" s="11"/>
      <c r="V31" s="11"/>
      <c r="W31" s="11"/>
      <c r="X31" s="11"/>
      <c r="Y31" s="11"/>
      <c r="Z31" s="672"/>
      <c r="AA31" s="30"/>
      <c r="AB31" s="11"/>
      <c r="AC31" s="11"/>
      <c r="AD31" s="11"/>
      <c r="AE31" t="s" s="673">
        <v>816</v>
      </c>
      <c r="AF31" s="674"/>
      <c r="AG31" s="106"/>
      <c r="AH31" s="127"/>
      <c r="AI31" s="86"/>
      <c r="AJ31" s="86"/>
      <c r="AK31" s="127"/>
      <c r="AL31" s="86"/>
      <c r="AM31" s="86"/>
      <c r="AN31" s="86"/>
      <c r="AO31" s="728"/>
      <c r="AP31" t="s" s="729">
        <v>817</v>
      </c>
      <c r="AQ31" s="30"/>
      <c r="AR31" s="11"/>
      <c r="AS31" s="11"/>
      <c r="AT31" t="s" s="671">
        <v>818</v>
      </c>
      <c r="AU31" s="11"/>
      <c r="AV31" s="11"/>
      <c r="AW31" s="229">
        <f>AK39</f>
        <v>-3840</v>
      </c>
      <c r="AX31" s="229">
        <f>$AK40</f>
        <v>-3955</v>
      </c>
      <c r="AY31" s="229">
        <f>$AK41</f>
        <v>-4074</v>
      </c>
      <c r="AZ31" s="229">
        <f>$AK42</f>
        <v>-4196</v>
      </c>
      <c r="BA31" s="229">
        <f>$AK43</f>
        <v>-4322</v>
      </c>
      <c r="BB31" s="229">
        <f>$AK44</f>
        <v>-4452</v>
      </c>
      <c r="BC31" s="229">
        <f>$AK45</f>
        <v>-4586</v>
      </c>
      <c r="BD31" s="229">
        <f>$AK46</f>
        <v>-4724</v>
      </c>
      <c r="BE31" s="229">
        <f>$AK47</f>
        <v>-4866</v>
      </c>
      <c r="BF31" s="229">
        <f>$AK48</f>
        <v>-5012</v>
      </c>
      <c r="BG31" s="229">
        <f>$AK49</f>
        <v>-5162</v>
      </c>
      <c r="BH31" s="229">
        <f>$AK50</f>
        <v>-5317</v>
      </c>
      <c r="BI31" s="229">
        <f>$AK51</f>
        <v>-5477</v>
      </c>
      <c r="BJ31" s="229">
        <f>$AK52</f>
        <v>-5641</v>
      </c>
      <c r="BK31" s="229">
        <f>$AK53</f>
        <v>-5810</v>
      </c>
      <c r="BL31" s="229">
        <f>$AK54</f>
        <v>-5984</v>
      </c>
      <c r="BM31" s="229">
        <f>$AK55</f>
        <v>-6164</v>
      </c>
      <c r="BN31" s="229">
        <f>$AK56</f>
        <v>-6349</v>
      </c>
      <c r="BO31" s="229">
        <f>$AK57</f>
        <v>-6539</v>
      </c>
      <c r="BP31" s="229">
        <f>$AK58</f>
        <v>-6735</v>
      </c>
      <c r="BQ31" s="229">
        <f>$AK59</f>
        <v>-6937</v>
      </c>
      <c r="BR31" s="229">
        <f>$AK60</f>
        <v>-7145</v>
      </c>
      <c r="BS31" s="229">
        <f>$AK61</f>
        <v>-7359</v>
      </c>
      <c r="BT31" s="229">
        <f>$AK62</f>
        <v>-7580</v>
      </c>
      <c r="BU31" s="229">
        <f>$AK63</f>
        <v>-7807</v>
      </c>
      <c r="BV31" s="229">
        <f>$AK64</f>
        <v>-8041</v>
      </c>
      <c r="BW31" s="229">
        <f>$AK65</f>
        <v>-8282</v>
      </c>
      <c r="BX31" s="229">
        <f>$AK66</f>
        <v>-8530</v>
      </c>
      <c r="BY31" s="229">
        <f>$AK67</f>
        <v>-8786</v>
      </c>
      <c r="BZ31" s="229">
        <f>$AK68</f>
        <v>-9050</v>
      </c>
      <c r="CA31" s="229">
        <f>$AK69</f>
        <v>-9322</v>
      </c>
      <c r="CB31" s="229">
        <f>$AK70</f>
        <v>-9602</v>
      </c>
      <c r="CC31" s="229">
        <f>$AK71</f>
        <v>-9890</v>
      </c>
      <c r="CD31" s="229">
        <f>$AK72</f>
        <v>-10187</v>
      </c>
      <c r="CE31" s="229">
        <f>$AK73</f>
        <v>-10493</v>
      </c>
      <c r="CF31" s="229">
        <f>$AK74</f>
        <v>-10808</v>
      </c>
      <c r="CG31" s="229">
        <f>$AK75</f>
        <v>-11132</v>
      </c>
      <c r="CH31" s="229">
        <f>$AK76</f>
        <v>-11466</v>
      </c>
      <c r="CI31" s="229">
        <f>$AK77</f>
        <v>-11810</v>
      </c>
      <c r="CJ31" s="229">
        <f>$AK78</f>
        <v>-12164</v>
      </c>
      <c r="CK31" s="229">
        <f>$AK79</f>
        <v>-12529</v>
      </c>
      <c r="CL31" s="229">
        <f>$AK80</f>
        <v>-12905</v>
      </c>
      <c r="CM31" s="229">
        <f>$AK81</f>
        <v>-13292</v>
      </c>
      <c r="CN31" s="229">
        <f>$AK82</f>
        <v>-13691</v>
      </c>
      <c r="CO31" s="229">
        <f>$AK83</f>
        <v>-14102</v>
      </c>
      <c r="CP31" s="229">
        <f>$AK84</f>
        <v>-14525</v>
      </c>
      <c r="CQ31" s="229">
        <f>$AK85</f>
        <v>-14961</v>
      </c>
      <c r="CR31" s="229">
        <f>$AK86</f>
        <v>-15410</v>
      </c>
      <c r="CS31" s="229">
        <f>$AK87</f>
        <v>-15872</v>
      </c>
      <c r="CT31" s="229">
        <f>$AK88</f>
        <v>-16348</v>
      </c>
    </row>
    <row r="32" ht="18" customHeight="1" hidden="1">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672"/>
      <c r="AA32" s="30"/>
      <c r="AB32" s="11"/>
      <c r="AC32" s="11"/>
      <c r="AD32" s="11"/>
      <c r="AE32" t="s" s="673">
        <v>820</v>
      </c>
      <c r="AF32" s="674"/>
      <c r="AG32" s="106"/>
      <c r="AH32" s="86"/>
      <c r="AI32" s="86"/>
      <c r="AJ32" s="86"/>
      <c r="AK32" s="86"/>
      <c r="AL32" s="86"/>
      <c r="AM32" s="86"/>
      <c r="AN32" s="86"/>
      <c r="AO32" s="127"/>
      <c r="AP32" s="730">
        <f>IF(AK17=0,0,AP99)</f>
        <v>700776.1477069472</v>
      </c>
      <c r="AQ32" s="30"/>
      <c r="AR32" s="11"/>
      <c r="AS32" s="11"/>
      <c r="AT32" t="s" s="671">
        <v>821</v>
      </c>
      <c r="AU32" s="11"/>
      <c r="AV32" s="11"/>
      <c r="AW32" s="229">
        <f>IF($AK$17=0,0,AL39)</f>
        <v>0</v>
      </c>
      <c r="AX32" s="229">
        <f>IF($AK$17=0,0,$AL40)</f>
        <v>0</v>
      </c>
      <c r="AY32" s="229">
        <f>IF($AK$17=0,0,$AL41)</f>
        <v>0</v>
      </c>
      <c r="AZ32" s="229">
        <f>IF($AK$17=0,0,$AL42)</f>
        <v>-1946.136</v>
      </c>
      <c r="BA32" s="229">
        <f>IF($AK$17=0,0,$AL43)</f>
        <v>-1946.136</v>
      </c>
      <c r="BB32" s="229">
        <f>IF($AK$17=0,0,$AL44)</f>
        <v>-1946.136</v>
      </c>
      <c r="BC32" s="229">
        <f>IF($AK$17=0,0,$AL45)</f>
        <v>-2311.0365</v>
      </c>
      <c r="BD32" s="229">
        <f>IF($AK$17=0,0,$AL46)</f>
        <v>-2311.0365</v>
      </c>
      <c r="BE32" s="229">
        <f>IF($AK$17=0,0,$AL47)</f>
        <v>-2311.0365</v>
      </c>
      <c r="BF32" s="229">
        <f>IF($AK$17=0,0,$AL48)</f>
        <v>-2797.5705</v>
      </c>
      <c r="BG32" s="229">
        <f>IF($AK$17=0,0,$AL49)</f>
        <v>-2797.5705</v>
      </c>
      <c r="BH32" s="229">
        <f>IF($AK$17=0,0,$AL50)</f>
        <v>-2797.5705</v>
      </c>
      <c r="BI32" s="229">
        <f>IF($AK$17=0,0,$AL51)</f>
        <v>-3405.738</v>
      </c>
      <c r="BJ32" s="229">
        <f>IF($AK$17=0,0,$AL52)</f>
        <v>-3405.738</v>
      </c>
      <c r="BK32" s="229">
        <f>IF($AK$17=0,0,$AL53)</f>
        <v>-3405.738</v>
      </c>
      <c r="BL32" s="229">
        <f>IF($AK$17=0,0,$AL54)</f>
        <v>-4013.9055</v>
      </c>
      <c r="BM32" s="229">
        <f>IF($AK$17=0,0,$AL55)</f>
        <v>-4013.9055</v>
      </c>
      <c r="BN32" s="229">
        <f>IF($AK$17=0,0,$AL56)</f>
        <v>-4013.9055</v>
      </c>
      <c r="BO32" s="229">
        <f>IF($AK$17=0,0,$AL57)</f>
        <v>-4865.34</v>
      </c>
      <c r="BP32" s="229">
        <f>IF($AK$17=0,0,$AL58)</f>
        <v>-4865.34</v>
      </c>
      <c r="BQ32" s="229">
        <f>IF($AK$17=0,0,$AL59)</f>
        <v>-4865.34</v>
      </c>
      <c r="BR32" s="229">
        <f>IF($AK$17=0,0,$AL60)</f>
        <v>-5838.408</v>
      </c>
      <c r="BS32" s="229">
        <f>IF($AK$17=0,0,$AL61)</f>
        <v>-5838.408</v>
      </c>
      <c r="BT32" s="229">
        <f>IF($AK$17=0,0,$AL62)</f>
        <v>-5838.408</v>
      </c>
      <c r="BU32" s="229">
        <f>IF($AK$17=0,0,$AL63)</f>
        <v>-6933.1095</v>
      </c>
      <c r="BV32" s="229">
        <f>IF($AK$17=0,0,$AL64)</f>
        <v>-6933.1095</v>
      </c>
      <c r="BW32" s="229">
        <f>IF($AK$17=0,0,$AL65)</f>
        <v>-6933.1095</v>
      </c>
      <c r="BX32" s="229">
        <f>IF($AK$17=0,0,$AL66)</f>
        <v>-8392.711500000001</v>
      </c>
      <c r="BY32" s="229">
        <f>IF($AK$17=0,0,$AL67)</f>
        <v>-8392.711500000001</v>
      </c>
      <c r="BZ32" s="229">
        <f>IF($AK$17=0,0,$AL68)</f>
        <v>-8514.345000000001</v>
      </c>
      <c r="CA32" s="229">
        <f>IF($AK$17=0,0,$AL69)</f>
        <v>-19480</v>
      </c>
      <c r="CB32" s="229">
        <f>IF($AK$17=0,0,$AL70)</f>
        <v>-20064.4</v>
      </c>
      <c r="CC32" s="229">
        <f>IF($AK$17=0,0,$AL71)</f>
        <v>-20666.332</v>
      </c>
      <c r="CD32" s="229">
        <f>IF($AK$17=0,0,$AL72)</f>
        <v>-21286.32196</v>
      </c>
      <c r="CE32" s="229">
        <f>IF($AK$17=0,0,$AL73)</f>
        <v>-21924.9116188</v>
      </c>
      <c r="CF32" s="229">
        <f>IF($AK$17=0,0,$AL74)</f>
        <v>-22582.658967364</v>
      </c>
      <c r="CG32" s="229">
        <f>IF($AK$17=0,0,$AL75)</f>
        <v>-23260.138736384921</v>
      </c>
      <c r="CH32" s="229">
        <f>IF($AK$17=0,0,$AL76)</f>
        <v>-23957.942898476467</v>
      </c>
      <c r="CI32" s="229">
        <f>IF($AK$17=0,0,$AL77)</f>
        <v>-24676.681185430763</v>
      </c>
      <c r="CJ32" s="229">
        <f>IF($AK$17=0,0,$AL78)</f>
        <v>-25416.981620993687</v>
      </c>
      <c r="CK32" s="229">
        <f>IF($AK$17=0,0,$AL79)</f>
        <v>-26179.4910696235</v>
      </c>
      <c r="CL32" s="229">
        <f>IF($AK$17=0,0,$AL80)</f>
        <v>-26964.875801712205</v>
      </c>
      <c r="CM32" s="229">
        <f>IF($AK$17=0,0,$AL81)</f>
        <v>-27773.822075763572</v>
      </c>
      <c r="CN32" s="229">
        <f>IF($AK$17=0,0,$AL82)</f>
        <v>-28607.036738036481</v>
      </c>
      <c r="CO32" s="229">
        <f>IF($AK$17=0,0,$AL83)</f>
        <v>-29465.247840177577</v>
      </c>
      <c r="CP32" s="229">
        <f>IF($AK$17=0,0,$AL84)</f>
        <v>-30349.2052753829</v>
      </c>
      <c r="CQ32" s="229">
        <f>IF($AK$17=0,0,$AL85)</f>
        <v>-31259.681433644393</v>
      </c>
      <c r="CR32" s="229">
        <f>IF($AK$17=0,0,$AL86)</f>
        <v>-32197.471876653726</v>
      </c>
      <c r="CS32" s="229">
        <f>IF($AK$17=0,0,$AL87)</f>
        <v>-33163.396032953337</v>
      </c>
      <c r="CT32" s="229">
        <f>IF($AK$17=0,0,$AL88)</f>
        <v>-34158.297913941940</v>
      </c>
    </row>
    <row r="33" ht="18" customHeight="1" hidden="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672"/>
      <c r="AA33" s="30"/>
      <c r="AB33" s="11"/>
      <c r="AC33" s="11"/>
      <c r="AD33" s="11"/>
      <c r="AE33" t="s" s="673">
        <v>823</v>
      </c>
      <c r="AF33" s="674"/>
      <c r="AG33" s="106"/>
      <c r="AH33" s="86"/>
      <c r="AI33" s="86"/>
      <c r="AJ33" s="86"/>
      <c r="AK33" s="86"/>
      <c r="AL33" s="86"/>
      <c r="AM33" s="86"/>
      <c r="AN33" s="86"/>
      <c r="AO33" s="127"/>
      <c r="AP33" s="730"/>
      <c r="AQ33" s="30"/>
      <c r="AR33" s="11"/>
      <c r="AS33" s="11"/>
      <c r="AT33" s="11"/>
      <c r="AU33" s="11"/>
      <c r="AV33" s="11"/>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c r="BS33" s="229"/>
      <c r="BT33" s="229"/>
      <c r="BU33" s="229"/>
      <c r="BV33" s="229"/>
      <c r="BW33" s="229"/>
      <c r="BX33" s="229"/>
      <c r="BY33" s="229"/>
      <c r="BZ33" s="229"/>
      <c r="CA33" s="11"/>
      <c r="CB33" s="11"/>
      <c r="CC33" s="11"/>
      <c r="CD33" s="11"/>
      <c r="CE33" s="11"/>
      <c r="CF33" s="11"/>
      <c r="CG33" s="11"/>
      <c r="CH33" s="11"/>
      <c r="CI33" s="11"/>
      <c r="CJ33" s="11"/>
      <c r="CK33" s="11"/>
      <c r="CL33" s="11"/>
      <c r="CM33" s="11"/>
      <c r="CN33" s="11"/>
      <c r="CO33" s="11"/>
      <c r="CP33" s="11"/>
      <c r="CQ33" s="11"/>
      <c r="CR33" s="11"/>
      <c r="CS33" s="11"/>
      <c r="CT33" s="11"/>
    </row>
    <row r="34" ht="18" customHeight="1" hidden="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672"/>
      <c r="AA34" s="30"/>
      <c r="AB34" s="11"/>
      <c r="AC34" s="11"/>
      <c r="AD34" s="11"/>
      <c r="AE34" t="s" s="673">
        <v>825</v>
      </c>
      <c r="AF34" s="674"/>
      <c r="AG34" s="106"/>
      <c r="AH34" s="86"/>
      <c r="AI34" s="86"/>
      <c r="AJ34" s="86"/>
      <c r="AK34" s="86"/>
      <c r="AL34" s="86"/>
      <c r="AM34" s="86"/>
      <c r="AN34" s="86"/>
      <c r="AO34" s="127"/>
      <c r="AP34" s="730"/>
      <c r="AQ34" s="30"/>
      <c r="AR34" s="11"/>
      <c r="AS34" s="11"/>
      <c r="AT34" s="11"/>
      <c r="AU34" s="11"/>
      <c r="AV34" s="11"/>
      <c r="AW34" s="229"/>
      <c r="AX34" s="229"/>
      <c r="AY34" s="229"/>
      <c r="AZ34" s="229"/>
      <c r="BA34" s="229"/>
      <c r="BB34" s="229"/>
      <c r="BC34" s="229"/>
      <c r="BD34" s="229"/>
      <c r="BE34" s="229"/>
      <c r="BF34" s="229"/>
      <c r="BG34" s="229"/>
      <c r="BH34" s="229"/>
      <c r="BI34" s="229"/>
      <c r="BJ34" s="229"/>
      <c r="BK34" s="229"/>
      <c r="BL34" s="229"/>
      <c r="BM34" s="229"/>
      <c r="BN34" s="229"/>
      <c r="BO34" s="229"/>
      <c r="BP34" s="229"/>
      <c r="BQ34" s="229"/>
      <c r="BR34" s="229"/>
      <c r="BS34" s="229"/>
      <c r="BT34" s="229"/>
      <c r="BU34" s="229"/>
      <c r="BV34" s="229"/>
      <c r="BW34" s="229"/>
      <c r="BX34" s="229"/>
      <c r="BY34" s="229"/>
      <c r="BZ34" s="229"/>
      <c r="CA34" s="11"/>
      <c r="CB34" s="11"/>
      <c r="CC34" s="11"/>
      <c r="CD34" s="11"/>
      <c r="CE34" s="11"/>
      <c r="CF34" s="11"/>
      <c r="CG34" s="11"/>
      <c r="CH34" s="11"/>
      <c r="CI34" s="11"/>
      <c r="CJ34" s="11"/>
      <c r="CK34" s="11"/>
      <c r="CL34" s="11"/>
      <c r="CM34" s="11"/>
      <c r="CN34" s="11"/>
      <c r="CO34" s="11"/>
      <c r="CP34" s="11"/>
      <c r="CQ34" s="11"/>
      <c r="CR34" s="11"/>
      <c r="CS34" s="11"/>
      <c r="CT34" s="11"/>
    </row>
    <row r="35" ht="18" customHeight="1" hidden="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672"/>
      <c r="AA35" s="30"/>
      <c r="AB35" s="11"/>
      <c r="AC35" s="11"/>
      <c r="AD35" s="11"/>
      <c r="AE35" t="s" s="673">
        <v>830</v>
      </c>
      <c r="AF35" s="674"/>
      <c r="AG35" s="106"/>
      <c r="AH35" s="689">
        <f>AK23</f>
        <v>0.03</v>
      </c>
      <c r="AI35" s="689">
        <f>AK19</f>
        <v>0.02</v>
      </c>
      <c r="AJ35" s="689">
        <f>AK24</f>
        <v>0.03</v>
      </c>
      <c r="AK35" s="689">
        <f>AK25</f>
        <v>0.03</v>
      </c>
      <c r="AL35" s="689">
        <f>AK26</f>
        <v>0.03</v>
      </c>
      <c r="AM35" s="86"/>
      <c r="AN35" s="689">
        <f>AK29</f>
        <v>0</v>
      </c>
      <c r="AO35" s="127"/>
      <c r="AP35" t="s" s="731">
        <v>824</v>
      </c>
      <c r="AQ35" s="30"/>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row>
    <row r="36" ht="18" customHeight="1" hidden="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672"/>
      <c r="AA36" s="30"/>
      <c r="AB36" s="11"/>
      <c r="AC36" s="11"/>
      <c r="AD36" s="11"/>
      <c r="AE36" t="s" s="673">
        <v>831</v>
      </c>
      <c r="AF36" s="674"/>
      <c r="AG36" t="s" s="732">
        <v>826</v>
      </c>
      <c r="AH36" t="s" s="733">
        <v>810</v>
      </c>
      <c r="AI36" t="s" s="733">
        <v>175</v>
      </c>
      <c r="AJ36" t="s" s="733">
        <v>814</v>
      </c>
      <c r="AK36" t="s" s="733">
        <v>818</v>
      </c>
      <c r="AL36" t="s" s="733">
        <v>821</v>
      </c>
      <c r="AM36" t="s" s="733">
        <v>827</v>
      </c>
      <c r="AN36" t="s" s="733">
        <v>912</v>
      </c>
      <c r="AO36" t="s" s="733">
        <v>829</v>
      </c>
      <c r="AP36" t="s" s="734">
        <v>829</v>
      </c>
      <c r="AQ36" s="30"/>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row>
    <row r="37" ht="18" customHeight="1" hidden="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672"/>
      <c r="AA37" s="30"/>
      <c r="AB37" s="11"/>
      <c r="AC37" s="11"/>
      <c r="AD37" s="11"/>
      <c r="AE37" t="s" s="673">
        <v>834</v>
      </c>
      <c r="AF37" s="674"/>
      <c r="AG37" s="106"/>
      <c r="AH37" t="s" s="733">
        <v>811</v>
      </c>
      <c r="AI37" t="s" s="733">
        <v>811</v>
      </c>
      <c r="AJ37" t="s" s="733">
        <v>811</v>
      </c>
      <c r="AK37" t="s" s="733">
        <v>811</v>
      </c>
      <c r="AL37" t="s" s="733">
        <v>811</v>
      </c>
      <c r="AM37" t="s" s="733">
        <v>811</v>
      </c>
      <c r="AN37" t="s" s="733">
        <v>811</v>
      </c>
      <c r="AO37" t="s" s="733">
        <v>811</v>
      </c>
      <c r="AP37" t="s" s="734">
        <v>622</v>
      </c>
      <c r="AQ37" s="735"/>
      <c r="AR37" s="634"/>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row>
    <row r="38" ht="15" customHeight="1" hidden="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672"/>
      <c r="AA38" s="30"/>
      <c r="AB38" s="11"/>
      <c r="AC38" s="11"/>
      <c r="AD38" s="11"/>
      <c r="AE38" t="s" s="673">
        <v>837</v>
      </c>
      <c r="AF38" s="674"/>
      <c r="AG38" s="106"/>
      <c r="AH38" s="86"/>
      <c r="AI38" s="86"/>
      <c r="AJ38" s="86"/>
      <c r="AK38" s="86"/>
      <c r="AL38" s="86"/>
      <c r="AM38" s="86"/>
      <c r="AN38" s="86"/>
      <c r="AO38" s="86"/>
      <c r="AP38" s="736"/>
      <c r="AQ38" t="s" s="737">
        <v>832</v>
      </c>
      <c r="AR38" s="738"/>
      <c r="AS38" s="30"/>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row>
    <row r="39" ht="18" customHeight="1" hidden="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672"/>
      <c r="AA39" s="30"/>
      <c r="AB39" s="11"/>
      <c r="AC39" s="11"/>
      <c r="AD39" s="11"/>
      <c r="AE39" t="s" s="673">
        <v>839</v>
      </c>
      <c r="AF39" t="s" s="597">
        <v>835</v>
      </c>
      <c r="AG39" s="106">
        <v>1</v>
      </c>
      <c r="AH39" s="739">
        <f>L21</f>
        <v>39520</v>
      </c>
      <c r="AI39" s="739">
        <f>ROUND(-AH39*$AK$19,0)</f>
        <v>-790</v>
      </c>
      <c r="AJ39" s="739">
        <f>ROUND(-AK17*AK20,0)</f>
        <v>-2120</v>
      </c>
      <c r="AK39" s="739">
        <f>ROUND(-AK17*AK21,0)</f>
        <v>-3840</v>
      </c>
      <c r="AL39" s="739">
        <f>$AJ$135*0</f>
        <v>0</v>
      </c>
      <c r="AM39" s="739">
        <f>SUM(AH39:AL39)</f>
        <v>32770</v>
      </c>
      <c r="AN39" s="739">
        <f>ROUND(-AK15*AK17*AK30/1000,0)</f>
        <v>0</v>
      </c>
      <c r="AO39" s="739">
        <f>SUM(AM39:AN39)</f>
        <v>32770</v>
      </c>
      <c r="AP39" s="740">
        <f>AM39*(1/((1+$AK$28)^(AG39-0.5)))</f>
        <v>31829.037709447548</v>
      </c>
      <c r="AQ39" s="310">
        <f>AP39</f>
        <v>31829.037709447548</v>
      </c>
      <c r="AR39" s="287"/>
      <c r="AS39" s="30"/>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row>
    <row r="40" ht="18" customHeight="1" hidden="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672"/>
      <c r="AA40" s="30"/>
      <c r="AB40" s="11"/>
      <c r="AC40" s="11"/>
      <c r="AD40" s="11"/>
      <c r="AE40" t="s" s="673">
        <v>841</v>
      </c>
      <c r="AF40" s="741">
        <f>AF39+1</f>
        <v>1</v>
      </c>
      <c r="AG40" s="106">
        <f>AG39+1</f>
        <v>2</v>
      </c>
      <c r="AH40" s="742">
        <f>AH39*(1+$AK$23)</f>
        <v>40705.6</v>
      </c>
      <c r="AI40" s="739">
        <f>ROUND(-AH40*$AK$19,0)</f>
        <v>-814</v>
      </c>
      <c r="AJ40" s="739">
        <f>IF(AG40&gt;$AK$27,0,ROUND(AJ39*(1+$AK$24),0))</f>
        <v>-2184</v>
      </c>
      <c r="AK40" s="739">
        <f>IF(AG40&gt;$AK$27,0,ROUND(AK39*(1+$AK$25),0))</f>
        <v>-3955</v>
      </c>
      <c r="AL40" s="739">
        <f t="shared" si="351" ref="AL40:AL41">$AL$135*0</f>
        <v>0</v>
      </c>
      <c r="AM40" s="739">
        <f>SUM(AH40:AL40)</f>
        <v>33752.6</v>
      </c>
      <c r="AN40" s="739">
        <f>IF(AG40&gt;$H$24,0,ROUND(AN39*(1+$P$32),0))</f>
        <v>0</v>
      </c>
      <c r="AO40" s="739">
        <f>SUM(AM40:AN40)</f>
        <v>33752.6</v>
      </c>
      <c r="AP40" s="740">
        <f>AM40*(1/((1+$AK$28)^(AG40-0.5)))</f>
        <v>30927.757733773382</v>
      </c>
      <c r="AQ40" s="310">
        <f>AP40</f>
        <v>30927.757733773382</v>
      </c>
      <c r="AR40" s="287"/>
      <c r="AS40" s="30"/>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row>
    <row r="41" ht="18" customHeight="1" hidden="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672"/>
      <c r="AA41" s="30"/>
      <c r="AB41" s="11"/>
      <c r="AC41" s="11"/>
      <c r="AD41" s="11"/>
      <c r="AE41" t="s" s="673">
        <v>843</v>
      </c>
      <c r="AF41" s="741">
        <f>AF40+1</f>
        <v>2</v>
      </c>
      <c r="AG41" s="106">
        <f>AG40+1</f>
        <v>3</v>
      </c>
      <c r="AH41" s="743">
        <f>AH40*(1+$AK$23)</f>
        <v>41926.768</v>
      </c>
      <c r="AI41" s="739">
        <f>ROUND(-AH41*$AK$19,0)</f>
        <v>-839</v>
      </c>
      <c r="AJ41" s="739">
        <f>IF(AG41&gt;$AK$27,0,ROUND(AJ40*(1+$AK$24),0))</f>
        <v>-2250</v>
      </c>
      <c r="AK41" s="739">
        <f>IF(AG41&gt;$AK$27,0,ROUND(AK40*(1+$AK$25),0))</f>
        <v>-4074</v>
      </c>
      <c r="AL41" s="739">
        <f t="shared" si="351"/>
        <v>0</v>
      </c>
      <c r="AM41" s="739">
        <f>SUM(AH41:AL41)</f>
        <v>34763.768</v>
      </c>
      <c r="AN41" s="739">
        <f>IF(AG41&gt;$H$24,0,ROUND(AN40*(1+$P$32),0))</f>
        <v>0</v>
      </c>
      <c r="AO41" s="739">
        <f>SUM(AM41:AN41)</f>
        <v>34763.768</v>
      </c>
      <c r="AP41" s="740">
        <f>AM41*(1/((1+$AK$28)^(AG41-0.5)))</f>
        <v>30051.2249738945</v>
      </c>
      <c r="AQ41" s="310">
        <f>AP41</f>
        <v>30051.2249738945</v>
      </c>
      <c r="AR41" s="287"/>
      <c r="AS41" s="30"/>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row>
    <row r="42" ht="18" customHeight="1" hidden="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672"/>
      <c r="AA42" s="30"/>
      <c r="AB42" s="11"/>
      <c r="AC42" s="11"/>
      <c r="AD42" s="11"/>
      <c r="AE42" t="s" s="673">
        <v>844</v>
      </c>
      <c r="AF42" s="741">
        <f>AF41+1</f>
        <v>3</v>
      </c>
      <c r="AG42" s="106">
        <f>AG41+1</f>
        <v>4</v>
      </c>
      <c r="AH42" s="743">
        <f>AH41*(1+$AK$23)</f>
        <v>43184.57104</v>
      </c>
      <c r="AI42" s="739">
        <f>ROUND(-AH42*$AK$19,0)</f>
        <v>-864</v>
      </c>
      <c r="AJ42" s="739">
        <f>IF(AG42&gt;$AK$27,0,ROUND(AJ41*(1+$AK$24),0))</f>
        <v>-2318</v>
      </c>
      <c r="AK42" s="739">
        <f>IF(AG42&gt;$AK$27,0,ROUND(AK41*(1+$AK$25),0))</f>
        <v>-4196</v>
      </c>
      <c r="AL42" s="739">
        <f t="shared" si="375" ref="AL42:AL44">$AL$135*0.016</f>
        <v>-1946.136</v>
      </c>
      <c r="AM42" s="739">
        <f>SUM(AH42:AL42)</f>
        <v>33860.43504</v>
      </c>
      <c r="AN42" s="739">
        <f>IF(AG42&gt;$H$24,0,ROUND(AN41*(1+$P$32),0))</f>
        <v>0</v>
      </c>
      <c r="AO42" s="739">
        <f>SUM(AM42:AN42)</f>
        <v>33860.43504</v>
      </c>
      <c r="AP42" s="740">
        <f>AM42*(1/((1+$AK$28)^(AG42-0.5)))</f>
        <v>27613.534870747764</v>
      </c>
      <c r="AQ42" s="310">
        <f>AP42</f>
        <v>27613.534870747764</v>
      </c>
      <c r="AR42" s="287"/>
      <c r="AS42" s="30"/>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row>
    <row r="43" ht="18" customHeight="1" hidden="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672"/>
      <c r="AA43" s="30"/>
      <c r="AB43" s="11"/>
      <c r="AC43" s="11"/>
      <c r="AD43" s="11"/>
      <c r="AE43" t="s" s="673">
        <v>846</v>
      </c>
      <c r="AF43" s="741">
        <f>AF42+1</f>
        <v>4</v>
      </c>
      <c r="AG43" s="106">
        <f>AG42+1</f>
        <v>5</v>
      </c>
      <c r="AH43" s="743">
        <f>AH42*(1+$AK$23)</f>
        <v>44480.108171199994</v>
      </c>
      <c r="AI43" s="739">
        <f>ROUND(-AH43*$AK$19,0)</f>
        <v>-890</v>
      </c>
      <c r="AJ43" s="739">
        <f>IF(AG43&gt;$AK$27,0,ROUND(AJ42*(1+$AK$24),0))</f>
        <v>-2388</v>
      </c>
      <c r="AK43" s="739">
        <f>IF(AG43&gt;$AK$27,0,ROUND(AK42*(1+$AK$25),0))</f>
        <v>-4322</v>
      </c>
      <c r="AL43" s="739">
        <f t="shared" si="375"/>
        <v>-1946.136</v>
      </c>
      <c r="AM43" s="739">
        <f>SUM(AH43:AL43)</f>
        <v>34933.9721712</v>
      </c>
      <c r="AN43" s="739">
        <f>IF(AG43&gt;$H$24,0,ROUND(AN42*(1+$P$32),0))</f>
        <v>0</v>
      </c>
      <c r="AO43" s="739">
        <f>SUM(AM43:AN43)</f>
        <v>34933.9721712</v>
      </c>
      <c r="AP43" s="740">
        <f>AM43*(1/((1+$AK$28)^(AG43-0.5)))</f>
        <v>26876.429717868788</v>
      </c>
      <c r="AQ43" s="310">
        <f>AP43</f>
        <v>26876.429717868788</v>
      </c>
      <c r="AR43" s="287"/>
      <c r="AS43" s="30"/>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row>
    <row r="44" ht="18" customHeight="1" hidden="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672"/>
      <c r="AA44" s="30"/>
      <c r="AB44" s="11"/>
      <c r="AC44" s="11"/>
      <c r="AD44" s="11"/>
      <c r="AE44" t="s" s="673">
        <v>847</v>
      </c>
      <c r="AF44" s="741">
        <f>AF43+1</f>
        <v>5</v>
      </c>
      <c r="AG44" s="106">
        <f>AG43+1</f>
        <v>6</v>
      </c>
      <c r="AH44" s="743">
        <f>AH43*(1+$AK$23)</f>
        <v>45814.511416336</v>
      </c>
      <c r="AI44" s="739">
        <f>ROUND(-AH44*$AK$19,0)</f>
        <v>-916</v>
      </c>
      <c r="AJ44" s="739">
        <f>IF(AG44&gt;$AK$27,0,ROUND(AJ43*(1+$AK$24),0))</f>
        <v>-2460</v>
      </c>
      <c r="AK44" s="739">
        <f>IF(AG44&gt;$AK$27,0,ROUND(AK43*(1+$AK$25),0))</f>
        <v>-4452</v>
      </c>
      <c r="AL44" s="739">
        <f t="shared" si="375"/>
        <v>-1946.136</v>
      </c>
      <c r="AM44" s="739">
        <f>SUM(AH44:AL44)</f>
        <v>36040.375416336</v>
      </c>
      <c r="AN44" s="739">
        <f>IF(AG44&gt;$H$24,0,ROUND(AN43*(1+$P$32),0))</f>
        <v>0</v>
      </c>
      <c r="AO44" s="739">
        <f>SUM(AM44:AN44)</f>
        <v>36040.375416336</v>
      </c>
      <c r="AP44" s="740">
        <f>AM44*(1/((1+$AK$28)^(AG44-0.5)))</f>
        <v>26158.151287703684</v>
      </c>
      <c r="AQ44" s="310">
        <f>AP44</f>
        <v>26158.151287703684</v>
      </c>
      <c r="AR44" s="287"/>
      <c r="AS44" s="30"/>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row>
    <row r="45" ht="18" customHeight="1" hidden="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672"/>
      <c r="AA45" s="30"/>
      <c r="AB45" s="11"/>
      <c r="AC45" s="11"/>
      <c r="AD45" s="11"/>
      <c r="AE45" t="s" s="673">
        <v>848</v>
      </c>
      <c r="AF45" s="741">
        <f>AF44+1</f>
        <v>6</v>
      </c>
      <c r="AG45" s="106">
        <f>AG44+1</f>
        <v>7</v>
      </c>
      <c r="AH45" s="743">
        <f>AH44*(1+$AK$23)</f>
        <v>47188.946758826081</v>
      </c>
      <c r="AI45" s="739">
        <f>ROUND(-AH45*$AK$19,0)</f>
        <v>-944</v>
      </c>
      <c r="AJ45" s="739">
        <f>IF(AG45&gt;$AK$27,0,ROUND(AJ44*(1+$AK$24),0))</f>
        <v>-2534</v>
      </c>
      <c r="AK45" s="739">
        <f>IF(AG45&gt;$AK$27,0,ROUND(AK44*(1+$AK$25),0))</f>
        <v>-4586</v>
      </c>
      <c r="AL45" s="739">
        <f t="shared" si="411" ref="AL45:AL47">$AL$135*0.019</f>
        <v>-2311.0365</v>
      </c>
      <c r="AM45" s="739">
        <f>SUM(AH45:AL45)</f>
        <v>36813.910258826079</v>
      </c>
      <c r="AN45" s="739">
        <f>IF(AG45&gt;$H$24,0,ROUND(AN44*(1+$P$32),0))</f>
        <v>0</v>
      </c>
      <c r="AO45" s="739">
        <f>SUM(AM45:AN45)</f>
        <v>36813.910258826079</v>
      </c>
      <c r="AP45" s="740">
        <f>AM45*(1/((1+$AK$28)^(AG45-0.5)))</f>
        <v>25207.154604790252</v>
      </c>
      <c r="AQ45" s="310">
        <f>AP45</f>
        <v>25207.154604790252</v>
      </c>
      <c r="AR45" s="287"/>
      <c r="AS45" s="30"/>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row>
    <row r="46" ht="18" customHeight="1" hidden="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672"/>
      <c r="AA46" s="30"/>
      <c r="AB46" s="11"/>
      <c r="AC46" s="11"/>
      <c r="AD46" s="11"/>
      <c r="AE46" t="s" s="673">
        <v>850</v>
      </c>
      <c r="AF46" s="741">
        <f>AF45+1</f>
        <v>7</v>
      </c>
      <c r="AG46" s="106">
        <f>AG45+1</f>
        <v>8</v>
      </c>
      <c r="AH46" s="743">
        <f>AH45*(1+$AK$23)</f>
        <v>48604.615161590868</v>
      </c>
      <c r="AI46" s="739">
        <f>ROUND(-AH46*$AK$19,0)</f>
        <v>-972</v>
      </c>
      <c r="AJ46" s="739">
        <f>IF(AG46&gt;$AK$27,0,ROUND(AJ45*(1+$AK$24),0))</f>
        <v>-2610</v>
      </c>
      <c r="AK46" s="739">
        <f>IF(AG46&gt;$AK$27,0,ROUND(AK45*(1+$AK$25),0))</f>
        <v>-4724</v>
      </c>
      <c r="AL46" s="739">
        <f t="shared" si="411"/>
        <v>-2311.0365</v>
      </c>
      <c r="AM46" s="739">
        <f>SUM(AH46:AL46)</f>
        <v>37987.578661590866</v>
      </c>
      <c r="AN46" s="739">
        <f>IF(AG46&gt;$H$24,0,ROUND(AN45*(1+$P$32),0))</f>
        <v>0</v>
      </c>
      <c r="AO46" s="739">
        <f>SUM(AM46:AN46)</f>
        <v>37987.578661590866</v>
      </c>
      <c r="AP46" s="740">
        <f>AM46*(1/((1+$AK$28)^(AG46-0.5)))</f>
        <v>24538.478045751861</v>
      </c>
      <c r="AQ46" s="310">
        <f>AP46</f>
        <v>24538.478045751861</v>
      </c>
      <c r="AR46" s="287"/>
      <c r="AS46" s="30"/>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row>
    <row r="47" ht="18" customHeight="1" hidden="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672"/>
      <c r="AA47" s="30"/>
      <c r="AB47" s="11"/>
      <c r="AC47" s="11"/>
      <c r="AD47" s="11"/>
      <c r="AE47" t="s" s="673">
        <v>852</v>
      </c>
      <c r="AF47" s="741">
        <f>AF46+1</f>
        <v>8</v>
      </c>
      <c r="AG47" s="106">
        <f>AG46+1</f>
        <v>9</v>
      </c>
      <c r="AH47" s="743">
        <f>AH46*(1+$AK$23)</f>
        <v>50062.7536164386</v>
      </c>
      <c r="AI47" s="739">
        <f>ROUND(-AH47*$AK$19,0)</f>
        <v>-1001</v>
      </c>
      <c r="AJ47" s="739">
        <f>IF(AG47&gt;$AK$27,0,ROUND(AJ46*(1+$AK$24),0))</f>
        <v>-2688</v>
      </c>
      <c r="AK47" s="739">
        <f>IF(AG47&gt;$AK$27,0,ROUND(AK46*(1+$AK$25),0))</f>
        <v>-4866</v>
      </c>
      <c r="AL47" s="739">
        <f t="shared" si="411"/>
        <v>-2311.0365</v>
      </c>
      <c r="AM47" s="739">
        <f>SUM(AH47:AL47)</f>
        <v>39196.717116438595</v>
      </c>
      <c r="AN47" s="739">
        <f>IF(AG47&gt;$H$24,0,ROUND(AN46*(1+$P$32),0))</f>
        <v>0</v>
      </c>
      <c r="AO47" s="739">
        <f>SUM(AM47:AN47)</f>
        <v>39196.717116438595</v>
      </c>
      <c r="AP47" s="740">
        <f>AM47*(1/((1+$AK$28)^(AG47-0.5)))</f>
        <v>23886.352654546616</v>
      </c>
      <c r="AQ47" s="310">
        <f>AP47</f>
        <v>23886.352654546616</v>
      </c>
      <c r="AR47" s="287"/>
      <c r="AS47" s="30"/>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row>
    <row r="48" ht="18" customHeight="1" hidden="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672"/>
      <c r="AA48" s="30"/>
      <c r="AB48" s="11"/>
      <c r="AC48" s="11"/>
      <c r="AD48" s="11"/>
      <c r="AE48" t="s" s="673">
        <v>853</v>
      </c>
      <c r="AF48" s="741">
        <f>AF47+1</f>
        <v>9</v>
      </c>
      <c r="AG48" s="106">
        <f>AG47+1</f>
        <v>10</v>
      </c>
      <c r="AH48" s="743">
        <f>AH47*(1+$AK$23)</f>
        <v>51564.636224931754</v>
      </c>
      <c r="AI48" s="739">
        <f>ROUND(-AH48*$AK$19,0)</f>
        <v>-1031</v>
      </c>
      <c r="AJ48" s="739">
        <f>IF(AG48&gt;$AK$27,0,ROUND(AJ47*(1+$AK$24),0))</f>
        <v>-2769</v>
      </c>
      <c r="AK48" s="739">
        <f>IF(AG48&gt;$AK$27,0,ROUND(AK47*(1+$AK$25),0))</f>
        <v>-5012</v>
      </c>
      <c r="AL48" s="739">
        <f t="shared" si="447" ref="AL48:AL50">$AL$135*0.023</f>
        <v>-2797.5705</v>
      </c>
      <c r="AM48" s="739">
        <f>SUM(AH48:AL48)</f>
        <v>39955.065724931752</v>
      </c>
      <c r="AN48" s="739">
        <f>IF(AG48&gt;$H$24,0,ROUND(AN47*(1+$P$32),0))</f>
        <v>0</v>
      </c>
      <c r="AO48" s="739">
        <f>SUM(AM48:AN48)</f>
        <v>39955.065724931752</v>
      </c>
      <c r="AP48" s="740">
        <f>AM48*(1/((1+$AK$28)^(AG48-0.5)))</f>
        <v>22970.271551111782</v>
      </c>
      <c r="AQ48" s="310">
        <f>AP48</f>
        <v>22970.271551111782</v>
      </c>
      <c r="AR48" s="287"/>
      <c r="AS48" s="30"/>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row>
    <row r="49" ht="18" customHeight="1" hidden="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672"/>
      <c r="AA49" s="30"/>
      <c r="AB49" s="11"/>
      <c r="AC49" s="11"/>
      <c r="AD49" s="11"/>
      <c r="AE49" t="s" s="673">
        <v>854</v>
      </c>
      <c r="AF49" s="741">
        <f>AF48+1</f>
        <v>10</v>
      </c>
      <c r="AG49" s="106">
        <f>AG48+1</f>
        <v>11</v>
      </c>
      <c r="AH49" s="743">
        <f>AH48*(1+$AK$23)</f>
        <v>53111.575311679706</v>
      </c>
      <c r="AI49" s="739">
        <f>ROUND(-AH49*$AK$19,0)</f>
        <v>-1062</v>
      </c>
      <c r="AJ49" s="739">
        <f>IF(AG49&gt;$AK$27,0,ROUND(AJ48*(1+$AK$24),0))</f>
        <v>-2852</v>
      </c>
      <c r="AK49" s="739">
        <f>IF(AG49&gt;$AK$27,0,ROUND(AK48*(1+$AK$25),0))</f>
        <v>-5162</v>
      </c>
      <c r="AL49" s="739">
        <f t="shared" si="447"/>
        <v>-2797.5705</v>
      </c>
      <c r="AM49" s="739">
        <f>SUM(AH49:AL49)</f>
        <v>41238.0048116797</v>
      </c>
      <c r="AN49" s="739">
        <f>IF(AG49&gt;$H$24,0,ROUND(AN48*(1+$P$32),0))</f>
        <v>0</v>
      </c>
      <c r="AO49" s="739">
        <f>SUM(AM49:AN49)</f>
        <v>41238.0048116797</v>
      </c>
      <c r="AP49" s="740">
        <f>AM49*(1/((1+$AK$28)^(AG49-0.5)))</f>
        <v>22365.883566049448</v>
      </c>
      <c r="AQ49" s="310">
        <f>AP49</f>
        <v>22365.883566049448</v>
      </c>
      <c r="AR49" s="287"/>
      <c r="AS49" s="30"/>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row>
    <row r="50" ht="18" customHeight="1" hidden="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672"/>
      <c r="AA50" s="30"/>
      <c r="AB50" s="11"/>
      <c r="AC50" s="11"/>
      <c r="AD50" s="11"/>
      <c r="AE50" t="s" s="673">
        <v>855</v>
      </c>
      <c r="AF50" s="741">
        <f>AF49+1</f>
        <v>11</v>
      </c>
      <c r="AG50" s="106">
        <f>AG49+1</f>
        <v>12</v>
      </c>
      <c r="AH50" s="743">
        <f>AH49*(1+$AK$23)</f>
        <v>54704.9225710301</v>
      </c>
      <c r="AI50" s="739">
        <f>ROUND(-AH50*$AK$19,0)</f>
        <v>-1094</v>
      </c>
      <c r="AJ50" s="739">
        <f>IF(AG50&gt;$AK$27,0,ROUND(AJ49*(1+$AK$24),0))</f>
        <v>-2938</v>
      </c>
      <c r="AK50" s="739">
        <f>IF(AG50&gt;$AK$27,0,ROUND(AK49*(1+$AK$25),0))</f>
        <v>-5317</v>
      </c>
      <c r="AL50" s="739">
        <f t="shared" si="447"/>
        <v>-2797.5705</v>
      </c>
      <c r="AM50" s="739">
        <f>SUM(AH50:AL50)</f>
        <v>42558.352071030095</v>
      </c>
      <c r="AN50" s="739">
        <f>IF(AG50&gt;$H$24,0,ROUND(AN49*(1+$P$32),0))</f>
        <v>0</v>
      </c>
      <c r="AO50" s="739">
        <f>SUM(AM50:AN50)</f>
        <v>42558.352071030095</v>
      </c>
      <c r="AP50" s="740">
        <f>AM50*(1/((1+$AK$28)^(AG50-0.5)))</f>
        <v>21775.460719973042</v>
      </c>
      <c r="AQ50" s="310">
        <f>AP50</f>
        <v>21775.460719973042</v>
      </c>
      <c r="AR50" s="287"/>
      <c r="AS50" s="30"/>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row>
    <row r="51" ht="18" customHeight="1" hidden="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672"/>
      <c r="AA51" s="30"/>
      <c r="AB51" s="11"/>
      <c r="AC51" s="11"/>
      <c r="AD51" s="11"/>
      <c r="AE51" t="s" s="673">
        <v>857</v>
      </c>
      <c r="AF51" s="741">
        <f>AF50+1</f>
        <v>12</v>
      </c>
      <c r="AG51" s="106">
        <f>AG50+1</f>
        <v>13</v>
      </c>
      <c r="AH51" s="743">
        <f>AH50*(1+$AK$23)</f>
        <v>56346.070248161</v>
      </c>
      <c r="AI51" s="739">
        <f>ROUND(-AH51*$AK$19,0)</f>
        <v>-1127</v>
      </c>
      <c r="AJ51" s="739">
        <f>IF(AG51&gt;$AK$27,0,ROUND(AJ50*(1+$AK$24),0))</f>
        <v>-3026</v>
      </c>
      <c r="AK51" s="739">
        <f>IF(AG51&gt;$AK$27,0,ROUND(AK50*(1+$AK$25),0))</f>
        <v>-5477</v>
      </c>
      <c r="AL51" s="739">
        <f t="shared" si="483" ref="AL51:AL53">$AL$135*0.028</f>
        <v>-3405.738</v>
      </c>
      <c r="AM51" s="739">
        <f>SUM(AH51:AL51)</f>
        <v>43310.332248161</v>
      </c>
      <c r="AN51" s="739">
        <f>IF(AG51&gt;$H$24,0,ROUND(AN50*(1+$P$32),0))</f>
        <v>0</v>
      </c>
      <c r="AO51" s="739">
        <f>SUM(AM51:AN51)</f>
        <v>43310.332248161</v>
      </c>
      <c r="AP51" s="740">
        <f>AM51*(1/((1+$AK$28)^(AG51-0.5)))</f>
        <v>20905.867789471315</v>
      </c>
      <c r="AQ51" s="310">
        <f>AP51</f>
        <v>20905.867789471315</v>
      </c>
      <c r="AR51" s="287"/>
      <c r="AS51" s="30"/>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row>
    <row r="52" ht="18" customHeight="1" hidden="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672"/>
      <c r="AA52" s="30"/>
      <c r="AB52" s="11"/>
      <c r="AC52" s="11"/>
      <c r="AD52" s="11"/>
      <c r="AE52" s="744"/>
      <c r="AF52" s="741">
        <f>AF51+1</f>
        <v>13</v>
      </c>
      <c r="AG52" s="106">
        <f>AG51+1</f>
        <v>14</v>
      </c>
      <c r="AH52" s="743">
        <f>AH51*(1+$AK$23)</f>
        <v>58036.452355605827</v>
      </c>
      <c r="AI52" s="739">
        <f>ROUND(-AH52*$AK$19,0)</f>
        <v>-1161</v>
      </c>
      <c r="AJ52" s="739">
        <f>IF(AG52&gt;$AK$27,0,ROUND(AJ51*(1+$AK$24),0))</f>
        <v>-3117</v>
      </c>
      <c r="AK52" s="739">
        <f>IF(AG52&gt;$AK$27,0,ROUND(AK51*(1+$AK$25),0))</f>
        <v>-5641</v>
      </c>
      <c r="AL52" s="739">
        <f t="shared" si="483"/>
        <v>-3405.738</v>
      </c>
      <c r="AM52" s="739">
        <f>SUM(AH52:AL52)</f>
        <v>44711.714355605829</v>
      </c>
      <c r="AN52" s="739">
        <f>IF(AG52&gt;$H$24,0,ROUND(AN51*(1+$P$32),0))</f>
        <v>0</v>
      </c>
      <c r="AO52" s="739">
        <f>SUM(AM52:AN52)</f>
        <v>44711.714355605829</v>
      </c>
      <c r="AP52" s="740">
        <f>AM52*(1/((1+$AK$28)^(AG52-0.5)))</f>
        <v>20360.673561702461</v>
      </c>
      <c r="AQ52" s="310">
        <f>AP52</f>
        <v>20360.673561702461</v>
      </c>
      <c r="AR52" s="287"/>
      <c r="AS52" s="30"/>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row>
    <row r="53" ht="18" customHeight="1" hidden="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672"/>
      <c r="AA53" s="30"/>
      <c r="AB53" s="11"/>
      <c r="AC53" s="11"/>
      <c r="AD53" s="11"/>
      <c r="AE53" s="744"/>
      <c r="AF53" s="741">
        <f>AF52+1</f>
        <v>14</v>
      </c>
      <c r="AG53" s="106">
        <f>AG52+1</f>
        <v>15</v>
      </c>
      <c r="AH53" s="743">
        <f>AH52*(1+$AK$23)</f>
        <v>59777.545926274</v>
      </c>
      <c r="AI53" s="739">
        <f>ROUND(-AH53*$AK$19,0)</f>
        <v>-1196</v>
      </c>
      <c r="AJ53" s="739">
        <f>IF(AG53&gt;$AK$27,0,ROUND(AJ52*(1+$AK$24),0))</f>
        <v>-3211</v>
      </c>
      <c r="AK53" s="739">
        <f>IF(AG53&gt;$AK$27,0,ROUND(AK52*(1+$AK$25),0))</f>
        <v>-5810</v>
      </c>
      <c r="AL53" s="739">
        <f t="shared" si="483"/>
        <v>-3405.738</v>
      </c>
      <c r="AM53" s="739">
        <f>SUM(AH53:AL53)</f>
        <v>46154.807926274007</v>
      </c>
      <c r="AN53" s="739">
        <f>IF(AG53&gt;$H$24,0,ROUND(AN52*(1+$P$32),0))</f>
        <v>0</v>
      </c>
      <c r="AO53" s="739">
        <f>SUM(AM53:AN53)</f>
        <v>46154.807926274007</v>
      </c>
      <c r="AP53" s="740">
        <f>AM53*(1/((1+$AK$28)^(AG53-0.5)))</f>
        <v>19828.136575419485</v>
      </c>
      <c r="AQ53" s="310">
        <f>AP53</f>
        <v>19828.136575419485</v>
      </c>
      <c r="AR53" s="287"/>
      <c r="AS53" s="30"/>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row>
    <row r="54" ht="18" customHeight="1" hidden="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672"/>
      <c r="AA54" s="30"/>
      <c r="AB54" s="11"/>
      <c r="AC54" s="11"/>
      <c r="AD54" s="11"/>
      <c r="AE54" s="744"/>
      <c r="AF54" s="741">
        <f>AF53+1</f>
        <v>15</v>
      </c>
      <c r="AG54" s="106">
        <f>AG53+1</f>
        <v>16</v>
      </c>
      <c r="AH54" s="743">
        <f>AH53*(1+$AK$23)</f>
        <v>61570.872304062228</v>
      </c>
      <c r="AI54" s="739">
        <f>ROUND(-AH54*$AK$19,0)</f>
        <v>-1231</v>
      </c>
      <c r="AJ54" s="739">
        <f>IF(AG54&gt;$AK$27,0,ROUND(AJ53*(1+$AK$24),0))</f>
        <v>-3307</v>
      </c>
      <c r="AK54" s="739">
        <f>IF(AG54&gt;$AK$27,0,ROUND(AK53*(1+$AK$25),0))</f>
        <v>-5984</v>
      </c>
      <c r="AL54" s="739">
        <f t="shared" si="519" ref="AL54:AL56">$AL$135*0.033</f>
        <v>-4013.9055</v>
      </c>
      <c r="AM54" s="739">
        <f>SUM(AH54:AL54)</f>
        <v>47034.966804062227</v>
      </c>
      <c r="AN54" s="739">
        <f>IF(AG54&gt;$H$24,0,ROUND(AN53*(1+$P$32),0))</f>
        <v>0</v>
      </c>
      <c r="AO54" s="739">
        <f>SUM(AM54:AN54)</f>
        <v>47034.966804062227</v>
      </c>
      <c r="AP54" s="740">
        <f>AM54*(1/((1+$AK$28)^(AG54-0.5)))</f>
        <v>19062.503228490768</v>
      </c>
      <c r="AQ54" s="310">
        <f>AP54</f>
        <v>19062.503228490768</v>
      </c>
      <c r="AR54" s="287"/>
      <c r="AS54" s="30"/>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row>
    <row r="55" ht="18" customHeight="1" hidden="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672"/>
      <c r="AA55" s="30"/>
      <c r="AB55" s="11"/>
      <c r="AC55" s="11"/>
      <c r="AD55" s="11"/>
      <c r="AE55" s="744"/>
      <c r="AF55" s="741">
        <f>AF54+1</f>
        <v>16</v>
      </c>
      <c r="AG55" s="106">
        <f>AG54+1</f>
        <v>17</v>
      </c>
      <c r="AH55" s="743">
        <f>AH54*(1+$AK$23)</f>
        <v>63417.9984731841</v>
      </c>
      <c r="AI55" s="739">
        <f>ROUND(-AH55*$AK$19,0)</f>
        <v>-1268</v>
      </c>
      <c r="AJ55" s="739">
        <f>IF(AG55&gt;$AK$27,0,ROUND(AJ54*(1+$AK$24),0))</f>
        <v>-3406</v>
      </c>
      <c r="AK55" s="739">
        <f>IF(AG55&gt;$AK$27,0,ROUND(AK54*(1+$AK$25),0))</f>
        <v>-6164</v>
      </c>
      <c r="AL55" s="739">
        <f t="shared" si="519"/>
        <v>-4013.9055</v>
      </c>
      <c r="AM55" s="739">
        <f>SUM(AH55:AL55)</f>
        <v>48566.0929731841</v>
      </c>
      <c r="AN55" s="739">
        <f>IF(AG55&gt;$H$24,0,ROUND(AN54*(1+$P$32),0))</f>
        <v>0</v>
      </c>
      <c r="AO55" s="739">
        <f>SUM(AM55:AN55)</f>
        <v>48566.0929731841</v>
      </c>
      <c r="AP55" s="740">
        <f>AM55*(1/((1+$AK$28)^(AG55-0.5)))</f>
        <v>18568.909092057027</v>
      </c>
      <c r="AQ55" s="310">
        <f>AP55</f>
        <v>18568.909092057027</v>
      </c>
      <c r="AR55" s="287"/>
      <c r="AS55" s="30"/>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row>
    <row r="56" ht="18.75" customHeight="1" hidden="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672"/>
      <c r="AA56" s="30"/>
      <c r="AB56" s="11"/>
      <c r="AC56" s="11"/>
      <c r="AD56" s="11"/>
      <c r="AE56" s="745"/>
      <c r="AF56" s="741">
        <f>AF55+1</f>
        <v>17</v>
      </c>
      <c r="AG56" s="106">
        <f>AG55+1</f>
        <v>18</v>
      </c>
      <c r="AH56" s="743">
        <f>AH55*(1+$AK$23)</f>
        <v>65320.538427379623</v>
      </c>
      <c r="AI56" s="739">
        <f>ROUND(-AH56*$AK$19,0)</f>
        <v>-1306</v>
      </c>
      <c r="AJ56" s="739">
        <f>IF(AG56&gt;$AK$27,0,ROUND(AJ55*(1+$AK$24),0))</f>
        <v>-3508</v>
      </c>
      <c r="AK56" s="739">
        <f>IF(AG56&gt;$AK$27,0,ROUND(AK55*(1+$AK$25),0))</f>
        <v>-6349</v>
      </c>
      <c r="AL56" s="739">
        <f t="shared" si="519"/>
        <v>-4013.9055</v>
      </c>
      <c r="AM56" s="739">
        <f>SUM(AH56:AL56)</f>
        <v>50143.632927379622</v>
      </c>
      <c r="AN56" s="739">
        <f>IF(AG56&gt;$H$24,0,ROUND(AN55*(1+$P$32),0))</f>
        <v>0</v>
      </c>
      <c r="AO56" s="739">
        <f>SUM(AM56:AN56)</f>
        <v>50143.632927379622</v>
      </c>
      <c r="AP56" s="740">
        <f>AM56*(1/((1+$AK$28)^(AG56-0.5)))</f>
        <v>18086.859020200165</v>
      </c>
      <c r="AQ56" s="310">
        <f>AP56</f>
        <v>18086.859020200165</v>
      </c>
      <c r="AR56" s="287"/>
      <c r="AS56" s="30"/>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row>
    <row r="57" ht="18" customHeight="1" hidden="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672"/>
      <c r="AA57" s="30"/>
      <c r="AB57" s="11"/>
      <c r="AC57" s="11"/>
      <c r="AD57" s="11"/>
      <c r="AE57" s="707"/>
      <c r="AF57" s="746">
        <f>AF56+1</f>
        <v>18</v>
      </c>
      <c r="AG57" s="106">
        <f>AG56+1</f>
        <v>19</v>
      </c>
      <c r="AH57" s="743">
        <f>AH56*(1+$AK$23)</f>
        <v>67280.154580201008</v>
      </c>
      <c r="AI57" s="739">
        <f>ROUND(-AH57*$AK$19,0)</f>
        <v>-1346</v>
      </c>
      <c r="AJ57" s="739">
        <f>IF(AG57&gt;$AK$27,0,ROUND(AJ56*(1+$AK$24),0))</f>
        <v>-3613</v>
      </c>
      <c r="AK57" s="739">
        <f>IF(AG57&gt;$AK$27,0,ROUND(AK56*(1+$AK$25),0))</f>
        <v>-6539</v>
      </c>
      <c r="AL57" s="739">
        <f t="shared" si="555" ref="AL57:AL59">$AL$135*0.04</f>
        <v>-4865.34</v>
      </c>
      <c r="AM57" s="739">
        <f>SUM(AH57:AL57)</f>
        <v>50916.814580201011</v>
      </c>
      <c r="AN57" s="739">
        <f>IF(AG57&gt;$H$24,0,ROUND(AN56*(1+$P$32),0))</f>
        <v>0</v>
      </c>
      <c r="AO57" s="739">
        <f>SUM(AM57:AN57)</f>
        <v>50916.814580201011</v>
      </c>
      <c r="AP57" s="740">
        <f>AM57*(1/((1+$AK$28)^(AG57-0.5)))</f>
        <v>17326.175870708070</v>
      </c>
      <c r="AQ57" s="310">
        <f>AP57</f>
        <v>17326.175870708070</v>
      </c>
      <c r="AR57" s="287"/>
      <c r="AS57" s="30"/>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row>
    <row r="58" ht="18" customHeight="1" hidden="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672"/>
      <c r="AA58" s="30"/>
      <c r="AB58" s="11"/>
      <c r="AC58" s="11"/>
      <c r="AD58" s="11"/>
      <c r="AE58" s="11"/>
      <c r="AF58" s="746">
        <f>AF57+1</f>
        <v>19</v>
      </c>
      <c r="AG58" s="106">
        <f>AG57+1</f>
        <v>20</v>
      </c>
      <c r="AH58" s="743">
        <f>AH57*(1+$AK$23)</f>
        <v>69298.559217607035</v>
      </c>
      <c r="AI58" s="739">
        <f>ROUND(-AH58*$AK$19,0)</f>
        <v>-1386</v>
      </c>
      <c r="AJ58" s="739">
        <f>IF(AG58&gt;$AK$27,0,ROUND(AJ57*(1+$AK$24),0))</f>
        <v>-3721</v>
      </c>
      <c r="AK58" s="739">
        <f>IF(AG58&gt;$AK$27,0,ROUND(AK57*(1+$AK$25),0))</f>
        <v>-6735</v>
      </c>
      <c r="AL58" s="739">
        <f t="shared" si="555"/>
        <v>-4865.34</v>
      </c>
      <c r="AM58" s="739">
        <f>SUM(AH58:AL58)</f>
        <v>52591.219217607038</v>
      </c>
      <c r="AN58" s="739">
        <f>IF(AG58&gt;$H$24,0,ROUND(AN57*(1+$P$32),0))</f>
        <v>0</v>
      </c>
      <c r="AO58" s="739">
        <f>SUM(AM58:AN58)</f>
        <v>52591.219217607038</v>
      </c>
      <c r="AP58" s="740">
        <f>AM58*(1/((1+$AK$28)^(AG58-0.5)))</f>
        <v>16882.970688932430</v>
      </c>
      <c r="AQ58" s="310">
        <f>AP58</f>
        <v>16882.970688932430</v>
      </c>
      <c r="AR58" s="287"/>
      <c r="AS58" s="30"/>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row>
    <row r="59" ht="18" customHeight="1" hidden="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672"/>
      <c r="AA59" s="30"/>
      <c r="AB59" s="11"/>
      <c r="AC59" s="11"/>
      <c r="AD59" s="11"/>
      <c r="AE59" s="11"/>
      <c r="AF59" s="746">
        <f>AF58+1</f>
        <v>20</v>
      </c>
      <c r="AG59" s="106">
        <f>AG58+1</f>
        <v>21</v>
      </c>
      <c r="AH59" s="743">
        <f>AH58*(1+$AK$23)</f>
        <v>71377.515994135247</v>
      </c>
      <c r="AI59" s="739">
        <f>ROUND(-AH59*$AK$19,0)</f>
        <v>-1428</v>
      </c>
      <c r="AJ59" s="739">
        <f>IF(AG59&gt;$AK$27,0,ROUND(AJ58*(1+$AK$24),0))</f>
        <v>-3833</v>
      </c>
      <c r="AK59" s="739">
        <f>IF(AG59&gt;$AK$27,0,ROUND(AK58*(1+$AK$25),0))</f>
        <v>-6937</v>
      </c>
      <c r="AL59" s="739">
        <f t="shared" si="555"/>
        <v>-4865.34</v>
      </c>
      <c r="AM59" s="739">
        <f>SUM(AH59:AL59)</f>
        <v>54314.175994135250</v>
      </c>
      <c r="AN59" s="739">
        <f>IF(AG59&gt;$H$24,0,ROUND(AN58*(1+$P$32),0))</f>
        <v>0</v>
      </c>
      <c r="AO59" s="739">
        <f>SUM(AM59:AN59)</f>
        <v>54314.175994135250</v>
      </c>
      <c r="AP59" s="740">
        <f>AM59*(1/((1+$AK$28)^(AG59-0.5)))</f>
        <v>16449.130922520231</v>
      </c>
      <c r="AQ59" s="310">
        <f>AP59</f>
        <v>16449.130922520231</v>
      </c>
      <c r="AR59" s="287"/>
      <c r="AS59" s="30"/>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row>
    <row r="60" ht="18" customHeight="1" hidden="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672"/>
      <c r="AA60" s="30"/>
      <c r="AB60" s="11"/>
      <c r="AC60" s="11"/>
      <c r="AD60" s="11"/>
      <c r="AE60" s="11"/>
      <c r="AF60" s="746">
        <f>AF59+1</f>
        <v>21</v>
      </c>
      <c r="AG60" s="106">
        <f>AG59+1</f>
        <v>22</v>
      </c>
      <c r="AH60" s="743">
        <f>AH59*(1+$AK$23)</f>
        <v>73518.8414739593</v>
      </c>
      <c r="AI60" s="739">
        <f>ROUND(-AH60*$AK$19,0)</f>
        <v>-1470</v>
      </c>
      <c r="AJ60" s="739">
        <f>IF(AG60&gt;$AK$27,0,ROUND(AJ59*(1+$AK$24),0))</f>
        <v>-3948</v>
      </c>
      <c r="AK60" s="739">
        <f>IF(AG60&gt;$AK$27,0,ROUND(AK59*(1+$AK$25),0))</f>
        <v>-7145</v>
      </c>
      <c r="AL60" s="739">
        <f t="shared" si="591" ref="AL60:AL62">$AL$135*0.048</f>
        <v>-5838.408</v>
      </c>
      <c r="AM60" s="739">
        <f>SUM(AH60:AL60)</f>
        <v>55117.4334739593</v>
      </c>
      <c r="AN60" s="739">
        <f>IF(AG60&gt;$H$24,0,ROUND(AN59*(1+$P$32),0))</f>
        <v>0</v>
      </c>
      <c r="AO60" s="739">
        <f>SUM(AM60:AN60)</f>
        <v>55117.4334739593</v>
      </c>
      <c r="AP60" s="740">
        <f>AM60*(1/((1+$AK$28)^(AG60-0.5)))</f>
        <v>15747.545918564823</v>
      </c>
      <c r="AQ60" s="310">
        <f>AP60</f>
        <v>15747.545918564823</v>
      </c>
      <c r="AR60" s="287"/>
      <c r="AS60" s="30"/>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row>
    <row r="61" ht="18" customHeight="1" hidden="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672"/>
      <c r="AA61" s="30"/>
      <c r="AB61" s="11"/>
      <c r="AC61" s="11"/>
      <c r="AD61" s="11"/>
      <c r="AE61" s="11"/>
      <c r="AF61" s="746">
        <f>AF60+1</f>
        <v>22</v>
      </c>
      <c r="AG61" s="106">
        <f>AG60+1</f>
        <v>23</v>
      </c>
      <c r="AH61" s="743">
        <f>AH60*(1+$AK$23)</f>
        <v>75724.406718178085</v>
      </c>
      <c r="AI61" s="739">
        <f>ROUND(-AH61*$AK$19,0)</f>
        <v>-1514</v>
      </c>
      <c r="AJ61" s="739">
        <f>IF(AG61&gt;$AK$27,0,ROUND(AJ60*(1+$AK$24),0))</f>
        <v>-4066</v>
      </c>
      <c r="AK61" s="739">
        <f>IF(AG61&gt;$AK$27,0,ROUND(AK60*(1+$AK$25),0))</f>
        <v>-7359</v>
      </c>
      <c r="AL61" s="739">
        <f t="shared" si="591"/>
        <v>-5838.408</v>
      </c>
      <c r="AM61" s="739">
        <f>SUM(AH61:AL61)</f>
        <v>56946.998718178082</v>
      </c>
      <c r="AN61" s="739">
        <f>IF(AG61&gt;$H$24,0,ROUND(AN60*(1+$P$32),0))</f>
        <v>0</v>
      </c>
      <c r="AO61" s="739">
        <f>SUM(AM61:AN61)</f>
        <v>56946.998718178082</v>
      </c>
      <c r="AP61" s="740">
        <f>AM61*(1/((1+$AK$28)^(AG61-0.5)))</f>
        <v>15349.310514767316</v>
      </c>
      <c r="AQ61" s="310">
        <f>AP61</f>
        <v>15349.310514767316</v>
      </c>
      <c r="AR61" s="287"/>
      <c r="AS61" s="30"/>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row>
    <row r="62" ht="18" customHeight="1" hidden="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672"/>
      <c r="AA62" s="30"/>
      <c r="AB62" s="11"/>
      <c r="AC62" s="11"/>
      <c r="AD62" s="11"/>
      <c r="AE62" s="11"/>
      <c r="AF62" s="746">
        <f>AF61+1</f>
        <v>23</v>
      </c>
      <c r="AG62" s="106">
        <f>AG61+1</f>
        <v>24</v>
      </c>
      <c r="AH62" s="743">
        <f>AH61*(1+$AK$23)</f>
        <v>77996.138919723424</v>
      </c>
      <c r="AI62" s="739">
        <f>ROUND(-AH62*$AK$19,0)</f>
        <v>-1560</v>
      </c>
      <c r="AJ62" s="739">
        <f>IF(AG62&gt;$AK$27,0,ROUND(AJ61*(1+$AK$24),0))</f>
        <v>-4188</v>
      </c>
      <c r="AK62" s="739">
        <f>IF(AG62&gt;$AK$27,0,ROUND(AK61*(1+$AK$25),0))</f>
        <v>-7580</v>
      </c>
      <c r="AL62" s="739">
        <f t="shared" si="591"/>
        <v>-5838.408</v>
      </c>
      <c r="AM62" s="739">
        <f>SUM(AH62:AL62)</f>
        <v>58829.730919723421</v>
      </c>
      <c r="AN62" s="739">
        <f>IF(AG62&gt;$H$24,0,ROUND(AN61*(1+$P$32),0))</f>
        <v>0</v>
      </c>
      <c r="AO62" s="739">
        <f>SUM(AM62:AN62)</f>
        <v>58829.730919723421</v>
      </c>
      <c r="AP62" s="740">
        <f>AM62*(1/((1+$AK$28)^(AG62-0.5)))</f>
        <v>14959.222721699947</v>
      </c>
      <c r="AQ62" s="310">
        <f>AP62</f>
        <v>14959.222721699947</v>
      </c>
      <c r="AR62" s="287"/>
      <c r="AS62" s="30"/>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row>
    <row r="63" ht="18" customHeight="1" hidden="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672"/>
      <c r="AA63" s="30"/>
      <c r="AB63" s="11"/>
      <c r="AC63" s="11"/>
      <c r="AD63" s="11"/>
      <c r="AE63" s="11"/>
      <c r="AF63" s="746">
        <f>AF62+1</f>
        <v>24</v>
      </c>
      <c r="AG63" s="106">
        <f>AG62+1</f>
        <v>25</v>
      </c>
      <c r="AH63" s="743">
        <f>AH62*(1+$AK$23)</f>
        <v>80336.023087315130</v>
      </c>
      <c r="AI63" s="739">
        <f>ROUND(-AH63*$AK$19,0)</f>
        <v>-1607</v>
      </c>
      <c r="AJ63" s="739">
        <f>IF(AG63&gt;$AK$27,0,ROUND(AJ62*(1+$AK$24),0))</f>
        <v>-4314</v>
      </c>
      <c r="AK63" s="739">
        <f>IF(AG63&gt;$AK$27,0,ROUND(AK62*(1+$AK$25),0))</f>
        <v>-7807</v>
      </c>
      <c r="AL63" s="739">
        <f t="shared" si="627" ref="AL63:AL65">$AL$135*0.057</f>
        <v>-6933.1095</v>
      </c>
      <c r="AM63" s="739">
        <f>SUM(AH63:AL63)</f>
        <v>59674.913587315132</v>
      </c>
      <c r="AN63" s="739">
        <f>IF(AG63&gt;$H$24,0,ROUND(AN62*(1+$P$32),0))</f>
        <v>0</v>
      </c>
      <c r="AO63" s="739">
        <f>SUM(AM63:AN63)</f>
        <v>59674.913587315132</v>
      </c>
      <c r="AP63" s="740">
        <f>AM63*(1/((1+$AK$28)^(AG63-0.5)))</f>
        <v>14315.222407889225</v>
      </c>
      <c r="AQ63" s="310">
        <f>AP63</f>
        <v>14315.222407889225</v>
      </c>
      <c r="AR63" s="287"/>
      <c r="AS63" s="30"/>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row>
    <row r="64" ht="18" customHeight="1" hidden="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672"/>
      <c r="AA64" s="30"/>
      <c r="AB64" s="11"/>
      <c r="AC64" s="11"/>
      <c r="AD64" s="11"/>
      <c r="AE64" s="11"/>
      <c r="AF64" s="746">
        <f>AF63+1</f>
        <v>25</v>
      </c>
      <c r="AG64" s="106">
        <f>AG63+1</f>
        <v>26</v>
      </c>
      <c r="AH64" s="743">
        <f>AH63*(1+$AK$23)</f>
        <v>82746.103779934580</v>
      </c>
      <c r="AI64" s="739">
        <f>ROUND(-AH64*$AK$19,0)</f>
        <v>-1655</v>
      </c>
      <c r="AJ64" s="739">
        <f>IF(AG64&gt;$AK$27,0,ROUND(AJ63*(1+$AK$24),0))</f>
        <v>-4443</v>
      </c>
      <c r="AK64" s="739">
        <f>IF(AG64&gt;$AK$27,0,ROUND(AK63*(1+$AK$25),0))</f>
        <v>-8041</v>
      </c>
      <c r="AL64" s="739">
        <f t="shared" si="627"/>
        <v>-6933.1095</v>
      </c>
      <c r="AM64" s="739">
        <f>SUM(AH64:AL64)</f>
        <v>61673.994279934581</v>
      </c>
      <c r="AN64" s="739">
        <f>IF(AG64&gt;$H$24,0,ROUND(AN63*(1+$P$32),0))</f>
        <v>0</v>
      </c>
      <c r="AO64" s="739">
        <f>SUM(AM64:AN64)</f>
        <v>61673.994279934581</v>
      </c>
      <c r="AP64" s="740">
        <f>AM64*(1/((1+$AK$28)^(AG64-0.5)))</f>
        <v>13957.335304541386</v>
      </c>
      <c r="AQ64" s="310">
        <f>AP64</f>
        <v>13957.335304541386</v>
      </c>
      <c r="AR64" s="287"/>
      <c r="AS64" s="30"/>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row>
    <row r="65" ht="18" customHeight="1" hidden="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672"/>
      <c r="AA65" s="30"/>
      <c r="AB65" s="11"/>
      <c r="AC65" s="11"/>
      <c r="AD65" s="11"/>
      <c r="AE65" s="11"/>
      <c r="AF65" s="746">
        <f>AF64+1</f>
        <v>26</v>
      </c>
      <c r="AG65" s="106">
        <f>AG64+1</f>
        <v>27</v>
      </c>
      <c r="AH65" s="743">
        <f>AH64*(1+$AK$23)</f>
        <v>85228.486893332622</v>
      </c>
      <c r="AI65" s="739">
        <f>ROUND(-AH65*$AK$19,0)</f>
        <v>-1705</v>
      </c>
      <c r="AJ65" s="739">
        <f>IF(AG65&gt;$AK$27,0,ROUND(AJ64*(1+$AK$24),0))</f>
        <v>-4576</v>
      </c>
      <c r="AK65" s="739">
        <f>IF(AG65&gt;$AK$27,0,ROUND(AK64*(1+$AK$25),0))</f>
        <v>-8282</v>
      </c>
      <c r="AL65" s="739">
        <f t="shared" si="627"/>
        <v>-6933.1095</v>
      </c>
      <c r="AM65" s="739">
        <f>SUM(AH65:AL65)</f>
        <v>63732.377393332623</v>
      </c>
      <c r="AN65" s="739">
        <f>IF(AG65&gt;$H$24,0,ROUND(AN64*(1+$P$32),0))</f>
        <v>0</v>
      </c>
      <c r="AO65" s="739">
        <f>SUM(AM65:AN65)</f>
        <v>63732.377393332623</v>
      </c>
      <c r="AP65" s="740">
        <f>AM65*(1/((1+$AK$28)^(AG65-0.5)))</f>
        <v>13606.758903567830</v>
      </c>
      <c r="AQ65" s="310">
        <f>AP65</f>
        <v>13606.758903567830</v>
      </c>
      <c r="AR65" s="287"/>
      <c r="AS65" s="30"/>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row>
    <row r="66" ht="18" customHeight="1" hidden="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672"/>
      <c r="AA66" s="30"/>
      <c r="AB66" s="11"/>
      <c r="AC66" s="11"/>
      <c r="AD66" s="11"/>
      <c r="AE66" s="11"/>
      <c r="AF66" s="746">
        <f>AF65+1</f>
        <v>27</v>
      </c>
      <c r="AG66" s="106">
        <f>AG65+1</f>
        <v>28</v>
      </c>
      <c r="AH66" s="743">
        <f>AH65*(1+$AK$23)</f>
        <v>87785.341500132607</v>
      </c>
      <c r="AI66" s="739">
        <f>ROUND(-AH66*$AK$19,0)</f>
        <v>-1756</v>
      </c>
      <c r="AJ66" s="739">
        <f>IF(AG66&gt;$AK$27,0,ROUND(AJ65*(1+$AK$24),0))</f>
        <v>-4713</v>
      </c>
      <c r="AK66" s="739">
        <f>IF(AG66&gt;$AK$27,0,ROUND(AK65*(1+$AK$25),0))</f>
        <v>-8530</v>
      </c>
      <c r="AL66" s="739">
        <f t="shared" si="663" ref="AL66:AL67">$AL$135*0.069</f>
        <v>-8392.711500000001</v>
      </c>
      <c r="AM66" s="739">
        <f>SUM(AH66:AL66)</f>
        <v>64393.6300001326</v>
      </c>
      <c r="AN66" s="739">
        <f>IF(AG66&gt;$H$24,0,ROUND(AN65*(1+$P$32),0))</f>
        <v>0</v>
      </c>
      <c r="AO66" s="739">
        <f>SUM(AM66:AN66)</f>
        <v>64393.6300001326</v>
      </c>
      <c r="AP66" s="740">
        <f>AM66*(1/((1+$AK$28)^(AG66-0.5)))</f>
        <v>12969.750244808336</v>
      </c>
      <c r="AQ66" s="310">
        <f>AP66</f>
        <v>12969.750244808336</v>
      </c>
      <c r="AR66" s="287"/>
      <c r="AS66" s="30"/>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row>
    <row r="67" ht="18" customHeight="1" hidden="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672"/>
      <c r="AA67" s="30"/>
      <c r="AB67" s="11"/>
      <c r="AC67" s="11"/>
      <c r="AD67" s="11"/>
      <c r="AE67" s="11"/>
      <c r="AF67" s="746">
        <f>AF66+1</f>
        <v>28</v>
      </c>
      <c r="AG67" s="106">
        <f>AG66+1</f>
        <v>29</v>
      </c>
      <c r="AH67" s="743">
        <f>AH66*(1+$AK$23)</f>
        <v>90418.901745136594</v>
      </c>
      <c r="AI67" s="739">
        <f>ROUND(-AH67*$AK$19,0)</f>
        <v>-1808</v>
      </c>
      <c r="AJ67" s="739">
        <f>IF(AG67&gt;$AK$27,0,ROUND(AJ66*(1+$AK$24),0))</f>
        <v>-4854</v>
      </c>
      <c r="AK67" s="739">
        <f>IF(AG67&gt;$AK$27,0,ROUND(AK66*(1+$AK$25),0))</f>
        <v>-8786</v>
      </c>
      <c r="AL67" s="739">
        <f t="shared" si="663"/>
        <v>-8392.711500000001</v>
      </c>
      <c r="AM67" s="739">
        <f>SUM(AH67:AL67)</f>
        <v>66578.190245136590</v>
      </c>
      <c r="AN67" s="739">
        <f>IF(AG67&gt;$H$24,0,ROUND(AN66*(1+$P$32),0))</f>
        <v>0</v>
      </c>
      <c r="AO67" s="739">
        <f>SUM(AM67:AN67)</f>
        <v>66578.190245136590</v>
      </c>
      <c r="AP67" s="740">
        <f>AM67*(1/((1+$AK$28)^(AG67-0.5)))</f>
        <v>12650.707830458088</v>
      </c>
      <c r="AQ67" s="310">
        <f>AP67</f>
        <v>12650.707830458088</v>
      </c>
      <c r="AR67" s="287"/>
      <c r="AS67" s="30"/>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row>
    <row r="68" ht="18" customHeight="1" hidden="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672"/>
      <c r="AA68" s="30"/>
      <c r="AB68" s="11"/>
      <c r="AC68" s="11"/>
      <c r="AD68" s="11"/>
      <c r="AE68" s="11"/>
      <c r="AF68" s="746">
        <f>AF67+1</f>
        <v>29</v>
      </c>
      <c r="AG68" s="106">
        <f>AG67+1</f>
        <v>30</v>
      </c>
      <c r="AH68" s="743">
        <f>AH67*(1+$AK$23)</f>
        <v>93131.4687974907</v>
      </c>
      <c r="AI68" s="739">
        <f>ROUND(-AH68*$AK$19,0)</f>
        <v>-1863</v>
      </c>
      <c r="AJ68" s="739">
        <f>IF(AG68&gt;$AK$27,0,ROUND(AJ67*(1+$AK$24),0))</f>
        <v>-5000</v>
      </c>
      <c r="AK68" s="739">
        <f>IF(AG68&gt;$AK$27,0,ROUND(AK67*(1+$AK$25),0))</f>
        <v>-9050</v>
      </c>
      <c r="AL68" s="739">
        <f>$AL$135*0.07</f>
        <v>-8514.345000000001</v>
      </c>
      <c r="AM68" s="739">
        <f>SUM(AH68:AL68)</f>
        <v>68704.1237974907</v>
      </c>
      <c r="AN68" s="739">
        <v>0</v>
      </c>
      <c r="AO68" s="739">
        <f>SUM(AM68:AN68)</f>
        <v>68704.1237974907</v>
      </c>
      <c r="AP68" s="740">
        <f>AO68*(1/((1+$AK$28)^(AG68-0.5)))</f>
        <v>12315.719246082845</v>
      </c>
      <c r="AQ68" s="310">
        <f>AM68*(1/((1+$AK$28)^(AG68-0.5)))</f>
        <v>12315.719246082845</v>
      </c>
      <c r="AR68" s="310">
        <f>SUM(AQ39:AQ68)</f>
        <v>607542.5372775404</v>
      </c>
      <c r="AS68" s="30"/>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row>
    <row r="69" ht="18" customHeight="1" hidden="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672"/>
      <c r="AA69" s="30"/>
      <c r="AB69" s="11"/>
      <c r="AC69" s="11"/>
      <c r="AD69" s="11"/>
      <c r="AE69" s="11"/>
      <c r="AF69" s="746">
        <f>AF68+1</f>
        <v>30</v>
      </c>
      <c r="AG69" s="106">
        <v>31</v>
      </c>
      <c r="AH69" s="743">
        <f>AH68*(1+$AK$23)</f>
        <v>95925.412861415418</v>
      </c>
      <c r="AI69" s="739">
        <f>ROUND(-AH69*$AK$19,0)</f>
        <v>-1919</v>
      </c>
      <c r="AJ69" s="739">
        <f>IF(AG69&gt;$AK$27,0,ROUND(AJ68*(1+$AK$24),0))</f>
        <v>-5150</v>
      </c>
      <c r="AK69" s="739">
        <f>IF(AG69&gt;$AK$27,0,ROUND(AK68*(1+$AK$25),0))</f>
        <v>-9322</v>
      </c>
      <c r="AL69" s="739">
        <f>-3896*AK17</f>
        <v>-19480</v>
      </c>
      <c r="AM69" s="739">
        <f>SUM(AH69:AL69)</f>
        <v>60054.412861415418</v>
      </c>
      <c r="AN69" s="739">
        <v>0</v>
      </c>
      <c r="AO69" s="739">
        <f>SUM(AM69:AN69)*0.5*0.9</f>
        <v>27024.485787636939</v>
      </c>
      <c r="AP69" s="740">
        <f>AO69*(1/((1+$AK$28)^(AG69-0.5)))</f>
        <v>4570.129942359187</v>
      </c>
      <c r="AQ69" s="310">
        <f>AP69+(AP68-AQ68)</f>
        <v>4570.129942359187</v>
      </c>
      <c r="AR69" s="287"/>
      <c r="AS69" s="30"/>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row>
    <row r="70" ht="18" customHeight="1" hidden="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672"/>
      <c r="AA70" s="30"/>
      <c r="AB70" s="11"/>
      <c r="AC70" s="11"/>
      <c r="AD70" s="11"/>
      <c r="AE70" s="11"/>
      <c r="AF70" s="746">
        <f>AF69+1</f>
        <v>31</v>
      </c>
      <c r="AG70" s="106">
        <v>32</v>
      </c>
      <c r="AH70" s="743">
        <f>AH69*(1+$AK$23)</f>
        <v>98803.175247257881</v>
      </c>
      <c r="AI70" s="739">
        <f>ROUND(-AH70*$AK$19,0)</f>
        <v>-1976</v>
      </c>
      <c r="AJ70" s="739">
        <f>IF(AG70&gt;$AK$27,0,ROUND(AJ69*(1+$AK$24),0))</f>
        <v>-5305</v>
      </c>
      <c r="AK70" s="739">
        <f>IF(AG70&gt;$AK$27,0,ROUND(AK69*(1+$AK$25),0))</f>
        <v>-9602</v>
      </c>
      <c r="AL70" s="739">
        <f>AL69*1.03</f>
        <v>-20064.4</v>
      </c>
      <c r="AM70" s="739">
        <f>SUM(AH70:AL70)</f>
        <v>61855.775247257880</v>
      </c>
      <c r="AN70" s="739">
        <v>0</v>
      </c>
      <c r="AO70" s="739">
        <f>SUM(AM70:AN70)*0.5*0.9</f>
        <v>27835.098861266048</v>
      </c>
      <c r="AP70" s="740">
        <f>AO70*(1/((1+$AK$28)^(AG70-0.5)))</f>
        <v>4440.767258187606</v>
      </c>
      <c r="AQ70" s="310">
        <f>AP70</f>
        <v>4440.767258187606</v>
      </c>
      <c r="AR70" s="287"/>
      <c r="AS70" s="30"/>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row>
    <row r="71" ht="18" customHeight="1" hidden="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672"/>
      <c r="AA71" s="30"/>
      <c r="AB71" s="11"/>
      <c r="AC71" s="11"/>
      <c r="AD71" s="11"/>
      <c r="AE71" s="11"/>
      <c r="AF71" s="746">
        <f>AF70+1</f>
        <v>32</v>
      </c>
      <c r="AG71" s="106">
        <v>33</v>
      </c>
      <c r="AH71" s="743">
        <f>AH70*(1+$AK$23)</f>
        <v>101767.2705046756</v>
      </c>
      <c r="AI71" s="739">
        <f>ROUND(-AH71*$AK$19,0)</f>
        <v>-2035</v>
      </c>
      <c r="AJ71" s="739">
        <f>IF(AG71&gt;$AK$27,0,ROUND(AJ70*(1+$AK$24),0))</f>
        <v>-5464</v>
      </c>
      <c r="AK71" s="739">
        <f>IF(AG71&gt;$AK$27,0,ROUND(AK70*(1+$AK$25),0))</f>
        <v>-9890</v>
      </c>
      <c r="AL71" s="739">
        <f>AL70*1.03</f>
        <v>-20666.332</v>
      </c>
      <c r="AM71" s="739">
        <f>SUM(AH71:AL71)</f>
        <v>63711.938504675614</v>
      </c>
      <c r="AN71" s="739">
        <v>0</v>
      </c>
      <c r="AO71" s="739">
        <f>SUM(AM71:AN71)*0.5*0.9</f>
        <v>28670.372327104025</v>
      </c>
      <c r="AP71" s="740">
        <f>AO71*(1/((1+$AK$28)^(AG71-0.5)))</f>
        <v>4315.118352973019</v>
      </c>
      <c r="AQ71" s="310">
        <f>AP71</f>
        <v>4315.118352973019</v>
      </c>
      <c r="AR71" s="287"/>
      <c r="AS71" s="30"/>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row>
    <row r="72" ht="18" customHeight="1" hidden="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672"/>
      <c r="AA72" s="30"/>
      <c r="AB72" s="11"/>
      <c r="AC72" s="11"/>
      <c r="AD72" s="11"/>
      <c r="AE72" s="11"/>
      <c r="AF72" s="746">
        <f>AF71+1</f>
        <v>33</v>
      </c>
      <c r="AG72" s="106">
        <v>34</v>
      </c>
      <c r="AH72" s="743">
        <f>AH71*(1+$AK$23)</f>
        <v>104820.2886198159</v>
      </c>
      <c r="AI72" s="739">
        <f>ROUND(-AH72*$AK$19,0)</f>
        <v>-2096</v>
      </c>
      <c r="AJ72" s="739">
        <f>IF(AG72&gt;$AK$27,0,ROUND(AJ71*(1+$AK$24),0))</f>
        <v>-5628</v>
      </c>
      <c r="AK72" s="739">
        <f>IF(AG72&gt;$AK$27,0,ROUND(AK71*(1+$AK$25),0))</f>
        <v>-10187</v>
      </c>
      <c r="AL72" s="739">
        <f>AL71*1.03</f>
        <v>-21286.32196</v>
      </c>
      <c r="AM72" s="739">
        <f>SUM(AH72:AL72)</f>
        <v>65622.966659815880</v>
      </c>
      <c r="AN72" s="739">
        <v>0</v>
      </c>
      <c r="AO72" s="739">
        <f>SUM(AM72:AN72)*0.5*0.9</f>
        <v>29530.334996917147</v>
      </c>
      <c r="AP72" s="740">
        <f>AO72*(1/((1+$AK$28)^(AG72-0.5)))</f>
        <v>4192.971276542266</v>
      </c>
      <c r="AQ72" s="310">
        <f>AP72</f>
        <v>4192.971276542266</v>
      </c>
      <c r="AR72" s="287"/>
      <c r="AS72" s="30"/>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row>
    <row r="73" ht="18" customHeight="1" hidden="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672"/>
      <c r="AA73" s="30"/>
      <c r="AB73" s="11"/>
      <c r="AC73" s="11"/>
      <c r="AD73" s="11"/>
      <c r="AE73" s="11"/>
      <c r="AF73" s="746">
        <f>AF72+1</f>
        <v>34</v>
      </c>
      <c r="AG73" s="106">
        <v>35</v>
      </c>
      <c r="AH73" s="743">
        <f>AH72*(1+$AK$23)</f>
        <v>107964.8972784104</v>
      </c>
      <c r="AI73" s="739">
        <f>ROUND(-AH73*$AK$19,0)</f>
        <v>-2159</v>
      </c>
      <c r="AJ73" s="739">
        <f>IF(AG73&gt;$AK$27,0,ROUND(AJ72*(1+$AK$24),0))</f>
        <v>-5797</v>
      </c>
      <c r="AK73" s="739">
        <f>IF(AG73&gt;$AK$27,0,ROUND(AK72*(1+$AK$25),0))</f>
        <v>-10493</v>
      </c>
      <c r="AL73" s="739">
        <f>AL72*1.03</f>
        <v>-21924.9116188</v>
      </c>
      <c r="AM73" s="739">
        <f>SUM(AH73:AL73)</f>
        <v>67590.985659610349</v>
      </c>
      <c r="AN73" s="739">
        <v>0</v>
      </c>
      <c r="AO73" s="739">
        <f>SUM(AM73:AN73)*0.5*0.9</f>
        <v>30415.943546824659</v>
      </c>
      <c r="AP73" s="740">
        <f>AO73*(1/((1+$AK$28)^(AG73-0.5)))</f>
        <v>4074.261891766068</v>
      </c>
      <c r="AQ73" s="310">
        <f>AP73</f>
        <v>4074.261891766068</v>
      </c>
      <c r="AR73" s="287"/>
      <c r="AS73" s="30"/>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row>
    <row r="74" ht="18" customHeight="1" hidden="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672"/>
      <c r="AA74" s="30"/>
      <c r="AB74" s="11"/>
      <c r="AC74" s="11"/>
      <c r="AD74" s="11"/>
      <c r="AE74" s="11"/>
      <c r="AF74" s="746">
        <f>AF73+1</f>
        <v>35</v>
      </c>
      <c r="AG74" s="106">
        <v>36</v>
      </c>
      <c r="AH74" s="743">
        <f>AH73*(1+$AK$23)</f>
        <v>111203.8441967627</v>
      </c>
      <c r="AI74" s="739">
        <f>ROUND(-AH74*$AK$19,0)</f>
        <v>-2224</v>
      </c>
      <c r="AJ74" s="739">
        <f>IF(AG74&gt;$AK$27,0,ROUND(AJ73*(1+$AK$24),0))</f>
        <v>-5971</v>
      </c>
      <c r="AK74" s="739">
        <f>IF(AG74&gt;$AK$27,0,ROUND(AK73*(1+$AK$25),0))</f>
        <v>-10808</v>
      </c>
      <c r="AL74" s="739">
        <f>AL73*1.03</f>
        <v>-22582.658967364</v>
      </c>
      <c r="AM74" s="739">
        <f>SUM(AH74:AL74)</f>
        <v>69618.185229398674</v>
      </c>
      <c r="AN74" s="739">
        <v>0</v>
      </c>
      <c r="AO74" s="739">
        <f>SUM(AM74:AN74)*0.5*0.9</f>
        <v>31328.1833532294</v>
      </c>
      <c r="AP74" s="740">
        <f>AO74*(1/((1+$AK$28)^(AG74-0.5)))</f>
        <v>3958.922453850342</v>
      </c>
      <c r="AQ74" s="310">
        <f>AP74</f>
        <v>3958.922453850342</v>
      </c>
      <c r="AR74" s="287"/>
      <c r="AS74" s="30"/>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row>
    <row r="75" ht="18" customHeight="1" hidden="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672"/>
      <c r="AA75" s="30"/>
      <c r="AB75" s="11"/>
      <c r="AC75" s="11"/>
      <c r="AD75" s="11"/>
      <c r="AE75" s="11"/>
      <c r="AF75" s="746">
        <f>AF74+1</f>
        <v>36</v>
      </c>
      <c r="AG75" s="106">
        <v>37</v>
      </c>
      <c r="AH75" s="743">
        <f>AH74*(1+$AK$23)</f>
        <v>114539.9595226656</v>
      </c>
      <c r="AI75" s="739">
        <f>ROUND(-AH75*$AK$19,0)</f>
        <v>-2291</v>
      </c>
      <c r="AJ75" s="739">
        <f>IF(AG75&gt;$AK$27,0,ROUND(AJ74*(1+$AK$24),0))</f>
        <v>-6150</v>
      </c>
      <c r="AK75" s="739">
        <f>IF(AG75&gt;$AK$27,0,ROUND(AK74*(1+$AK$25),0))</f>
        <v>-11132</v>
      </c>
      <c r="AL75" s="739">
        <f>AL74*1.03</f>
        <v>-23260.138736384921</v>
      </c>
      <c r="AM75" s="739">
        <f>SUM(AH75:AL75)</f>
        <v>71706.820786280630</v>
      </c>
      <c r="AN75" s="739">
        <v>0</v>
      </c>
      <c r="AO75" s="739">
        <f>SUM(AM75:AN75)*0.5*0.9</f>
        <v>32268.069353826286</v>
      </c>
      <c r="AP75" s="740">
        <f>AO75*(1/((1+$AK$28)^(AG75-0.5)))</f>
        <v>3846.882307004621</v>
      </c>
      <c r="AQ75" s="310">
        <f>AP75</f>
        <v>3846.882307004621</v>
      </c>
      <c r="AR75" s="287"/>
      <c r="AS75" s="30"/>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row>
    <row r="76" ht="18" customHeight="1" hidden="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672"/>
      <c r="AA76" s="30"/>
      <c r="AB76" s="11"/>
      <c r="AC76" s="11"/>
      <c r="AD76" s="11"/>
      <c r="AE76" s="11"/>
      <c r="AF76" s="746">
        <f>AF75+1</f>
        <v>37</v>
      </c>
      <c r="AG76" s="106">
        <v>38</v>
      </c>
      <c r="AH76" s="743">
        <f>AH75*(1+$AK$23)</f>
        <v>117976.1583083455</v>
      </c>
      <c r="AI76" s="739">
        <f>ROUND(-AH76*$AK$19,0)</f>
        <v>-2360</v>
      </c>
      <c r="AJ76" s="739">
        <f>IF(AG76&gt;$AK$27,0,ROUND(AJ75*(1+$AK$24),0))</f>
        <v>-6335</v>
      </c>
      <c r="AK76" s="739">
        <f>IF(AG76&gt;$AK$27,0,ROUND(AK75*(1+$AK$25),0))</f>
        <v>-11466</v>
      </c>
      <c r="AL76" s="739">
        <f>AL75*1.03</f>
        <v>-23957.942898476467</v>
      </c>
      <c r="AM76" s="739">
        <f>SUM(AH76:AL76)</f>
        <v>73857.215409869052</v>
      </c>
      <c r="AN76" s="739">
        <v>0</v>
      </c>
      <c r="AO76" s="739">
        <f>SUM(AM76:AN76)*0.5*0.9</f>
        <v>33235.746934441071</v>
      </c>
      <c r="AP76" s="740">
        <f>AO76*(1/((1+$AK$28)^(AG76-0.5)))</f>
        <v>3737.967284759908</v>
      </c>
      <c r="AQ76" s="310">
        <f>AP76</f>
        <v>3737.967284759908</v>
      </c>
      <c r="AR76" s="287"/>
      <c r="AS76" s="30"/>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row>
    <row r="77" ht="18" customHeight="1" hidden="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672"/>
      <c r="AA77" s="30"/>
      <c r="AB77" s="11"/>
      <c r="AC77" s="11"/>
      <c r="AD77" s="11"/>
      <c r="AE77" s="11"/>
      <c r="AF77" s="746">
        <f>AF76+1</f>
        <v>38</v>
      </c>
      <c r="AG77" s="106">
        <v>39</v>
      </c>
      <c r="AH77" s="743">
        <f>AH76*(1+$AK$23)</f>
        <v>121515.4430575959</v>
      </c>
      <c r="AI77" s="739">
        <f>ROUND(-AH77*$AK$19,0)</f>
        <v>-2430</v>
      </c>
      <c r="AJ77" s="739">
        <f>IF(AG77&gt;$AK$27,0,ROUND(AJ76*(1+$AK$24),0))</f>
        <v>-6525</v>
      </c>
      <c r="AK77" s="739">
        <f>IF(AG77&gt;$AK$27,0,ROUND(AK76*(1+$AK$25),0))</f>
        <v>-11810</v>
      </c>
      <c r="AL77" s="739">
        <f>AL76*1.03</f>
        <v>-24676.681185430763</v>
      </c>
      <c r="AM77" s="739">
        <f>SUM(AH77:AL77)</f>
        <v>76073.761872165123</v>
      </c>
      <c r="AN77" s="739">
        <v>0</v>
      </c>
      <c r="AO77" s="739">
        <f>SUM(AM77:AN77)*0.5*0.9</f>
        <v>34233.192842474309</v>
      </c>
      <c r="AP77" s="740">
        <f>AO77*(1/((1+$AK$28)^(AG77-0.5)))</f>
        <v>3632.215386986039</v>
      </c>
      <c r="AQ77" s="310">
        <f>AP77</f>
        <v>3632.215386986039</v>
      </c>
      <c r="AR77" s="287"/>
      <c r="AS77" s="30"/>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row>
    <row r="78" ht="18" customHeight="1" hidden="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672"/>
      <c r="AA78" s="30"/>
      <c r="AB78" s="11"/>
      <c r="AC78" s="11"/>
      <c r="AD78" s="11"/>
      <c r="AE78" s="11"/>
      <c r="AF78" s="746">
        <f>AF77+1</f>
        <v>39</v>
      </c>
      <c r="AG78" s="106">
        <v>40</v>
      </c>
      <c r="AH78" s="743">
        <f>AH77*(1+$AK$23)</f>
        <v>125160.9063493238</v>
      </c>
      <c r="AI78" s="739">
        <f>ROUND(-AH78*$AK$19,0)</f>
        <v>-2503</v>
      </c>
      <c r="AJ78" s="739">
        <f>IF(AG78&gt;$AK$27,0,ROUND(AJ77*(1+$AK$24),0))</f>
        <v>-6721</v>
      </c>
      <c r="AK78" s="739">
        <f>IF(AG78&gt;$AK$27,0,ROUND(AK77*(1+$AK$25),0))</f>
        <v>-12164</v>
      </c>
      <c r="AL78" s="739">
        <f>AL77*1.03</f>
        <v>-25416.981620993687</v>
      </c>
      <c r="AM78" s="739">
        <f>SUM(AH78:AL78)</f>
        <v>78355.924728330079</v>
      </c>
      <c r="AN78" s="739">
        <v>0</v>
      </c>
      <c r="AO78" s="739">
        <f>SUM(AM78:AN78)*0.5*0.9</f>
        <v>35260.166127748540</v>
      </c>
      <c r="AP78" s="740">
        <f>AO78*(1/((1+$AK$28)^(AG78-0.5)))</f>
        <v>3529.414586129461</v>
      </c>
      <c r="AQ78" s="310">
        <f>AP78</f>
        <v>3529.414586129461</v>
      </c>
      <c r="AR78" s="310">
        <f>SUM(AQ39:AQ78)</f>
        <v>647841.1880180991</v>
      </c>
      <c r="AS78" s="30"/>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row>
    <row r="79" ht="18" customHeight="1" hidden="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672"/>
      <c r="AA79" s="30"/>
      <c r="AB79" s="11"/>
      <c r="AC79" s="11"/>
      <c r="AD79" s="11"/>
      <c r="AE79" s="11"/>
      <c r="AF79" s="746">
        <f>AF78+1</f>
        <v>40</v>
      </c>
      <c r="AG79" s="106">
        <v>41</v>
      </c>
      <c r="AH79" s="743">
        <f>AH78*(1+$AK$23)</f>
        <v>128915.7335398035</v>
      </c>
      <c r="AI79" s="739">
        <f>ROUND(-AH79*$AK$19,0)</f>
        <v>-2578</v>
      </c>
      <c r="AJ79" s="739">
        <f>IF(AG79&gt;$AK$27,0,ROUND(AJ78*(1+$AK$24),0))</f>
        <v>-6923</v>
      </c>
      <c r="AK79" s="739">
        <f>IF(AG79&gt;$AK$27,0,ROUND(AK78*(1+$AK$25),0))</f>
        <v>-12529</v>
      </c>
      <c r="AL79" s="739">
        <f>AL78*1.03</f>
        <v>-26179.4910696235</v>
      </c>
      <c r="AM79" s="739">
        <f>SUM(AH79:AL79)</f>
        <v>80706.242470179975</v>
      </c>
      <c r="AN79" s="739">
        <v>0</v>
      </c>
      <c r="AO79" s="739">
        <f>SUM(AM79:AN79)*0.5*0.9</f>
        <v>36317.809111580988</v>
      </c>
      <c r="AP79" s="740">
        <f>AO79*(1/((1+$AK$28)^(AG79-0.5)))</f>
        <v>3429.510196322290</v>
      </c>
      <c r="AQ79" s="310">
        <f>AP79</f>
        <v>3429.510196322290</v>
      </c>
      <c r="AR79" s="287"/>
      <c r="AS79" s="30"/>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row>
    <row r="80" ht="18" customHeight="1" hidden="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672"/>
      <c r="AA80" s="30"/>
      <c r="AB80" s="11"/>
      <c r="AC80" s="11"/>
      <c r="AD80" s="11"/>
      <c r="AE80" s="11"/>
      <c r="AF80" s="746">
        <f>AF79+1</f>
        <v>41</v>
      </c>
      <c r="AG80" s="106">
        <v>42</v>
      </c>
      <c r="AH80" s="743">
        <f>AH79*(1+$AK$23)</f>
        <v>132783.2055459976</v>
      </c>
      <c r="AI80" s="739">
        <f>ROUND(-AH80*$AK$19,0)</f>
        <v>-2656</v>
      </c>
      <c r="AJ80" s="739">
        <f>IF(AG80&gt;$AK$27,0,ROUND(AJ79*(1+$AK$24),0))</f>
        <v>-7131</v>
      </c>
      <c r="AK80" s="739">
        <f>IF(AG80&gt;$AK$27,0,ROUND(AK79*(1+$AK$25),0))</f>
        <v>-12905</v>
      </c>
      <c r="AL80" s="739">
        <f>AL79*1.03</f>
        <v>-26964.875801712205</v>
      </c>
      <c r="AM80" s="739">
        <f>SUM(AH80:AL80)</f>
        <v>83126.329744285395</v>
      </c>
      <c r="AN80" s="739">
        <v>0</v>
      </c>
      <c r="AO80" s="739">
        <f>SUM(AM80:AN80)*0.5*0.9</f>
        <v>37406.848384928431</v>
      </c>
      <c r="AP80" s="740">
        <f>AO80*(1/((1+$AK$28)^(AG80-0.5)))</f>
        <v>3332.404489713612</v>
      </c>
      <c r="AQ80" s="310">
        <f>AP80</f>
        <v>3332.404489713612</v>
      </c>
      <c r="AR80" s="287"/>
      <c r="AS80" s="30"/>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row>
    <row r="81" ht="18" customHeight="1" hidden="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672"/>
      <c r="AA81" s="30"/>
      <c r="AB81" s="11"/>
      <c r="AC81" s="11"/>
      <c r="AD81" s="11"/>
      <c r="AE81" s="11"/>
      <c r="AF81" s="746">
        <f>AF80+1</f>
        <v>42</v>
      </c>
      <c r="AG81" s="106">
        <v>43</v>
      </c>
      <c r="AH81" s="743">
        <f>AH80*(1+$AK$23)</f>
        <v>136766.7017123775</v>
      </c>
      <c r="AI81" s="739">
        <f>ROUND(-AH81*$AK$19,0)</f>
        <v>-2735</v>
      </c>
      <c r="AJ81" s="739">
        <f>IF(AG81&gt;$AK$27,0,ROUND(AJ80*(1+$AK$24),0))</f>
        <v>-7345</v>
      </c>
      <c r="AK81" s="739">
        <f>IF(AG81&gt;$AK$27,0,ROUND(AK80*(1+$AK$25),0))</f>
        <v>-13292</v>
      </c>
      <c r="AL81" s="739">
        <f>AL80*1.03</f>
        <v>-27773.822075763572</v>
      </c>
      <c r="AM81" s="739">
        <f>SUM(AH81:AL81)</f>
        <v>85620.879636613943</v>
      </c>
      <c r="AN81" s="739">
        <v>0</v>
      </c>
      <c r="AO81" s="739">
        <f>SUM(AM81:AN81)*0.5*0.9</f>
        <v>38529.395836476273</v>
      </c>
      <c r="AP81" s="740">
        <f>AO81*(1/((1+$AK$28)^(AG81-0.5)))</f>
        <v>3238.119897750782</v>
      </c>
      <c r="AQ81" s="310">
        <f>AP81</f>
        <v>3238.119897750782</v>
      </c>
      <c r="AR81" s="287"/>
      <c r="AS81" s="30"/>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row>
    <row r="82" ht="18" customHeight="1" hidden="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672"/>
      <c r="AA82" s="30"/>
      <c r="AB82" s="11"/>
      <c r="AC82" s="11"/>
      <c r="AD82" s="11"/>
      <c r="AE82" s="11"/>
      <c r="AF82" s="746">
        <f>AF81+1</f>
        <v>43</v>
      </c>
      <c r="AG82" s="106">
        <v>44</v>
      </c>
      <c r="AH82" s="743">
        <f>AH81*(1+$AK$23)</f>
        <v>140869.7027637488</v>
      </c>
      <c r="AI82" s="739">
        <f>ROUND(-AH82*$AK$19,0)</f>
        <v>-2817</v>
      </c>
      <c r="AJ82" s="739">
        <f>IF(AG82&gt;$AK$27,0,ROUND(AJ81*(1+$AK$24),0))</f>
        <v>-7565</v>
      </c>
      <c r="AK82" s="739">
        <f>IF(AG82&gt;$AK$27,0,ROUND(AK81*(1+$AK$25),0))</f>
        <v>-13691</v>
      </c>
      <c r="AL82" s="739">
        <f>AL81*1.03</f>
        <v>-28607.036738036481</v>
      </c>
      <c r="AM82" s="739">
        <f>SUM(AH82:AL82)</f>
        <v>88189.666025712373</v>
      </c>
      <c r="AN82" s="739">
        <v>0</v>
      </c>
      <c r="AO82" s="739">
        <f>SUM(AM82:AN82)*0.5*0.9</f>
        <v>39685.349711570569</v>
      </c>
      <c r="AP82" s="740">
        <f>AO82*(1/((1+$AK$28)^(AG82-0.5)))</f>
        <v>3146.4807035546</v>
      </c>
      <c r="AQ82" s="310">
        <f>AP82</f>
        <v>3146.4807035546</v>
      </c>
      <c r="AR82" s="287"/>
      <c r="AS82" s="30"/>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row>
    <row r="83" ht="18" customHeight="1" hidden="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672"/>
      <c r="AA83" s="30"/>
      <c r="AB83" s="11"/>
      <c r="AC83" s="11"/>
      <c r="AD83" s="11"/>
      <c r="AE83" s="11"/>
      <c r="AF83" s="746">
        <f>AF82+1</f>
        <v>44</v>
      </c>
      <c r="AG83" s="106">
        <v>45</v>
      </c>
      <c r="AH83" s="743">
        <f>AH82*(1+$AK$23)</f>
        <v>145095.7938466613</v>
      </c>
      <c r="AI83" s="739">
        <f>ROUND(-AH83*$AK$19,0)</f>
        <v>-2902</v>
      </c>
      <c r="AJ83" s="739">
        <f>IF(AG83&gt;$AK$27,0,ROUND(AJ82*(1+$AK$24),0))</f>
        <v>-7792</v>
      </c>
      <c r="AK83" s="739">
        <f>IF(AG83&gt;$AK$27,0,ROUND(AK82*(1+$AK$25),0))</f>
        <v>-14102</v>
      </c>
      <c r="AL83" s="739">
        <f>AL82*1.03</f>
        <v>-29465.247840177577</v>
      </c>
      <c r="AM83" s="739">
        <f>SUM(AH83:AL83)</f>
        <v>90834.546006483739</v>
      </c>
      <c r="AN83" s="739">
        <v>0</v>
      </c>
      <c r="AO83" s="739">
        <f>SUM(AM83:AN83)*0.5*0.9</f>
        <v>40875.545702917683</v>
      </c>
      <c r="AP83" s="740">
        <f>AO83*(1/((1+$AK$28)^(AG83-0.5)))</f>
        <v>3057.402099079099</v>
      </c>
      <c r="AQ83" s="310">
        <f>AP83</f>
        <v>3057.402099079099</v>
      </c>
      <c r="AR83" s="287"/>
      <c r="AS83" s="30"/>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row>
    <row r="84" ht="18" customHeight="1" hidden="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672"/>
      <c r="AA84" s="30"/>
      <c r="AB84" s="11"/>
      <c r="AC84" s="11"/>
      <c r="AD84" s="11"/>
      <c r="AE84" s="11"/>
      <c r="AF84" s="746">
        <f>AF83+1</f>
        <v>45</v>
      </c>
      <c r="AG84" s="106">
        <v>46</v>
      </c>
      <c r="AH84" s="743">
        <f>AH83*(1+$AK$23)</f>
        <v>149448.6676620612</v>
      </c>
      <c r="AI84" s="739">
        <f>ROUND(-AH84*$AK$19,0)</f>
        <v>-2989</v>
      </c>
      <c r="AJ84" s="739">
        <f>IF(AG84&gt;$AK$27,0,ROUND(AJ83*(1+$AK$24),0))</f>
        <v>-8026</v>
      </c>
      <c r="AK84" s="739">
        <f>IF(AG84&gt;$AK$27,0,ROUND(AK83*(1+$AK$25),0))</f>
        <v>-14525</v>
      </c>
      <c r="AL84" s="739">
        <f>AL83*1.03</f>
        <v>-30349.2052753829</v>
      </c>
      <c r="AM84" s="739">
        <f>SUM(AH84:AL84)</f>
        <v>93559.462386678264</v>
      </c>
      <c r="AN84" s="739">
        <v>0</v>
      </c>
      <c r="AO84" s="739">
        <f>SUM(AM84:AN84)*0.5*0.9</f>
        <v>42101.758074005222</v>
      </c>
      <c r="AP84" s="740">
        <f>AO84*(1/((1+$AK$28)^(AG84-0.5)))</f>
        <v>2970.868040536490</v>
      </c>
      <c r="AQ84" s="310">
        <f>AP84</f>
        <v>2970.868040536490</v>
      </c>
      <c r="AR84" s="287"/>
      <c r="AS84" s="30"/>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row>
    <row r="85" ht="18" customHeight="1" hidden="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672"/>
      <c r="AA85" s="30"/>
      <c r="AB85" s="11"/>
      <c r="AC85" s="11"/>
      <c r="AD85" s="11"/>
      <c r="AE85" s="11"/>
      <c r="AF85" s="746">
        <f>AF84+1</f>
        <v>46</v>
      </c>
      <c r="AG85" s="106">
        <v>47</v>
      </c>
      <c r="AH85" s="743">
        <f>AH84*(1+$AK$23)</f>
        <v>153932.127691923</v>
      </c>
      <c r="AI85" s="739">
        <f>ROUND(-AH85*$AK$19,0)</f>
        <v>-3079</v>
      </c>
      <c r="AJ85" s="739">
        <f>IF(AG85&gt;$AK$27,0,ROUND(AJ84*(1+$AK$24),0))</f>
        <v>-8267</v>
      </c>
      <c r="AK85" s="739">
        <f>IF(AG85&gt;$AK$27,0,ROUND(AK84*(1+$AK$25),0))</f>
        <v>-14961</v>
      </c>
      <c r="AL85" s="739">
        <f>AL84*1.03</f>
        <v>-31259.681433644393</v>
      </c>
      <c r="AM85" s="739">
        <f>SUM(AH85:AL85)</f>
        <v>96365.446258278607</v>
      </c>
      <c r="AN85" s="739">
        <v>0</v>
      </c>
      <c r="AO85" s="739">
        <f>SUM(AM85:AN85)*0.5*0.9</f>
        <v>43364.450816225377</v>
      </c>
      <c r="AP85" s="740">
        <f>AO85*(1/((1+$AK$28)^(AG85-0.5)))</f>
        <v>2886.762904449191</v>
      </c>
      <c r="AQ85" s="310">
        <f>AP85</f>
        <v>2886.762904449191</v>
      </c>
      <c r="AR85" s="287"/>
      <c r="AS85" s="30"/>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row>
    <row r="86" ht="18" customHeight="1" hidden="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672"/>
      <c r="AA86" s="30"/>
      <c r="AB86" s="11"/>
      <c r="AC86" s="11"/>
      <c r="AD86" s="11"/>
      <c r="AE86" s="11"/>
      <c r="AF86" s="746">
        <f>AF85+1</f>
        <v>47</v>
      </c>
      <c r="AG86" s="106">
        <v>48</v>
      </c>
      <c r="AH86" s="743">
        <f>AH85*(1+$AK$23)</f>
        <v>158550.0915226807</v>
      </c>
      <c r="AI86" s="739">
        <f>ROUND(-AH86*$AK$19,0)</f>
        <v>-3171</v>
      </c>
      <c r="AJ86" s="739">
        <f>IF(AG86&gt;$AK$27,0,ROUND(AJ85*(1+$AK$24),0))</f>
        <v>-8515</v>
      </c>
      <c r="AK86" s="739">
        <f>IF(AG86&gt;$AK$27,0,ROUND(AK85*(1+$AK$25),0))</f>
        <v>-15410</v>
      </c>
      <c r="AL86" s="739">
        <f>AL85*1.03</f>
        <v>-32197.471876653726</v>
      </c>
      <c r="AM86" s="739">
        <f>SUM(AH86:AL86)</f>
        <v>99256.619646026957</v>
      </c>
      <c r="AN86" s="739">
        <v>0</v>
      </c>
      <c r="AO86" s="739">
        <f>SUM(AM86:AN86)*0.5*0.9</f>
        <v>44665.478840712130</v>
      </c>
      <c r="AP86" s="740">
        <f>AO86*(1/((1+$AK$28)^(AG86-0.5)))</f>
        <v>2805.068002291466</v>
      </c>
      <c r="AQ86" s="310">
        <f>AP86</f>
        <v>2805.068002291466</v>
      </c>
      <c r="AR86" s="287"/>
      <c r="AS86" s="30"/>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row>
    <row r="87" ht="18" customHeight="1" hidden="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672"/>
      <c r="AA87" s="30"/>
      <c r="AB87" s="11"/>
      <c r="AC87" s="11"/>
      <c r="AD87" s="11"/>
      <c r="AE87" s="11"/>
      <c r="AF87" s="746">
        <f>AF86+1</f>
        <v>48</v>
      </c>
      <c r="AG87" s="106">
        <v>49</v>
      </c>
      <c r="AH87" s="743">
        <f>AH86*(1+$AK$23)</f>
        <v>163306.5942683611</v>
      </c>
      <c r="AI87" s="739">
        <f>ROUND(-AH87*$AK$19,0)</f>
        <v>-3266</v>
      </c>
      <c r="AJ87" s="739">
        <f>IF(AG87&gt;$AK$27,0,ROUND(AJ86*(1+$AK$24),0))</f>
        <v>-8770</v>
      </c>
      <c r="AK87" s="739">
        <f>IF(AG87&gt;$AK$27,0,ROUND(AK86*(1+$AK$25),0))</f>
        <v>-15872</v>
      </c>
      <c r="AL87" s="739">
        <f>AL86*1.03</f>
        <v>-33163.396032953337</v>
      </c>
      <c r="AM87" s="739">
        <f>SUM(AH87:AL87)</f>
        <v>102235.1982354078</v>
      </c>
      <c r="AN87" s="739">
        <v>0</v>
      </c>
      <c r="AO87" s="739">
        <f>SUM(AM87:AN87)*0.5*0.9</f>
        <v>46005.839205933495</v>
      </c>
      <c r="AP87" s="740">
        <f>AO87*(1/((1+$AK$28)^(AG87-0.5)))</f>
        <v>2725.702747012650</v>
      </c>
      <c r="AQ87" s="310">
        <f>AP87</f>
        <v>2725.702747012650</v>
      </c>
      <c r="AR87" s="287"/>
      <c r="AS87" s="30"/>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row>
    <row r="88" ht="18" customHeight="1" hidden="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672"/>
      <c r="AA88" s="30"/>
      <c r="AB88" s="11"/>
      <c r="AC88" s="11"/>
      <c r="AD88" s="11"/>
      <c r="AE88" s="11"/>
      <c r="AF88" s="746">
        <f>AF87+1</f>
        <v>49</v>
      </c>
      <c r="AG88" s="106">
        <v>50</v>
      </c>
      <c r="AH88" s="743">
        <f>AH87*(1+$AK$23)</f>
        <v>168205.792096412</v>
      </c>
      <c r="AI88" s="739">
        <f>ROUND(-AH88*$AK$19,0)</f>
        <v>-3364</v>
      </c>
      <c r="AJ88" s="739">
        <f>IF(AG88&gt;$AK$27,0,ROUND(AJ87*(1+$AK$24),0))</f>
        <v>-9033</v>
      </c>
      <c r="AK88" s="739">
        <f>IF(AG88&gt;$AK$27,0,ROUND(AK87*(1+$AK$25),0))</f>
        <v>-16348</v>
      </c>
      <c r="AL88" s="739">
        <f>AL87*1.03</f>
        <v>-34158.297913941940</v>
      </c>
      <c r="AM88" s="739">
        <f>SUM(AH88:AL88)</f>
        <v>105302.49418247</v>
      </c>
      <c r="AN88" s="739">
        <v>0</v>
      </c>
      <c r="AO88" s="739">
        <f>SUM(AM88:AN88)*0.5*0.9</f>
        <v>47386.122382111513</v>
      </c>
      <c r="AP88" s="740">
        <f>AO88*(1/((1+$AK$28)^(AG88-0.5)))</f>
        <v>2648.566252912078</v>
      </c>
      <c r="AQ88" s="310">
        <f>AP88</f>
        <v>2648.566252912078</v>
      </c>
      <c r="AR88" s="310">
        <f>SUM(AQ39:AQ88)</f>
        <v>678082.0733517213</v>
      </c>
      <c r="AS88" s="30"/>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row>
    <row r="89" ht="18" customHeight="1" hidden="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672"/>
      <c r="AA89" s="30"/>
      <c r="AB89" s="11"/>
      <c r="AC89" s="11"/>
      <c r="AD89" s="11"/>
      <c r="AE89" s="11"/>
      <c r="AF89" s="746">
        <f>AF88+1</f>
        <v>50</v>
      </c>
      <c r="AG89" s="106">
        <v>51</v>
      </c>
      <c r="AH89" s="743">
        <f>AH88*(1+$AK$23)</f>
        <v>173251.9658593043</v>
      </c>
      <c r="AI89" s="739">
        <f>ROUND(-AH89*$AK$19,0)</f>
        <v>-3465</v>
      </c>
      <c r="AJ89" s="739">
        <f>IF(AG89&gt;$AK$27,0,ROUND(AJ88*(1+$AK$24),0))</f>
        <v>-9304</v>
      </c>
      <c r="AK89" s="739">
        <f>IF(AG89&gt;$AK$27,0,ROUND(AK88*(1+$AK$25),0))</f>
        <v>-16838</v>
      </c>
      <c r="AL89" s="739">
        <f>AL88*1.03</f>
        <v>-35183.0468513602</v>
      </c>
      <c r="AM89" s="739">
        <f>SUM(AH89:AL89)</f>
        <v>108461.9190079441</v>
      </c>
      <c r="AN89" s="739">
        <v>0</v>
      </c>
      <c r="AO89" s="739">
        <f>SUM(AM89:AN89)*0.5*0.9</f>
        <v>48807.863553574854</v>
      </c>
      <c r="AP89" s="740">
        <f>AO89*(1/((1+$AK$28)^(AG89-0.5)))</f>
        <v>2573.615135558985</v>
      </c>
      <c r="AQ89" s="310">
        <f>AP89</f>
        <v>2573.615135558985</v>
      </c>
      <c r="AR89" s="287"/>
      <c r="AS89" s="30"/>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row>
    <row r="90" ht="18" customHeight="1" hidden="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672"/>
      <c r="AA90" s="30"/>
      <c r="AB90" s="11"/>
      <c r="AC90" s="11"/>
      <c r="AD90" s="11"/>
      <c r="AE90" s="11"/>
      <c r="AF90" s="746">
        <f>AF89+1</f>
        <v>51</v>
      </c>
      <c r="AG90" s="106">
        <v>52</v>
      </c>
      <c r="AH90" s="743">
        <f>AH89*(1+$AK$23)</f>
        <v>178449.5248350835</v>
      </c>
      <c r="AI90" s="739">
        <f>ROUND(-AH90*$AK$19,0)</f>
        <v>-3569</v>
      </c>
      <c r="AJ90" s="739">
        <f>IF(AG90&gt;$AK$27,0,ROUND(AJ89*(1+$AK$24),0))</f>
        <v>-9583</v>
      </c>
      <c r="AK90" s="739">
        <f>IF(AG90&gt;$AK$27,0,ROUND(AK89*(1+$AK$25),0))</f>
        <v>-17343</v>
      </c>
      <c r="AL90" s="739">
        <f>AL89*1.03</f>
        <v>-36238.538256901011</v>
      </c>
      <c r="AM90" s="739">
        <f>SUM(AH90:AL90)</f>
        <v>111715.9865781824</v>
      </c>
      <c r="AN90" s="739">
        <v>0</v>
      </c>
      <c r="AO90" s="739">
        <f>SUM(AM90:AN90)*0.5*0.9</f>
        <v>50272.1939601821</v>
      </c>
      <c r="AP90" s="740">
        <f>AO90*(1/((1+$AK$28)^(AG90-0.5)))</f>
        <v>2500.781672231355</v>
      </c>
      <c r="AQ90" s="310">
        <f>AP90</f>
        <v>2500.781672231355</v>
      </c>
      <c r="AR90" s="287"/>
      <c r="AS90" s="30"/>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row>
    <row r="91" ht="18" customHeight="1" hidden="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672"/>
      <c r="AA91" s="30"/>
      <c r="AB91" s="11"/>
      <c r="AC91" s="11"/>
      <c r="AD91" s="11"/>
      <c r="AE91" s="11"/>
      <c r="AF91" s="746">
        <f>AF90+1</f>
        <v>52</v>
      </c>
      <c r="AG91" s="106">
        <v>53</v>
      </c>
      <c r="AH91" s="743">
        <f>AH90*(1+$AK$23)</f>
        <v>183803.010580136</v>
      </c>
      <c r="AI91" s="739">
        <f>ROUND(-AH91*$AK$19,0)</f>
        <v>-3676</v>
      </c>
      <c r="AJ91" s="739">
        <f>IF(AG91&gt;$AK$27,0,ROUND(AJ90*(1+$AK$24),0))</f>
        <v>-9870</v>
      </c>
      <c r="AK91" s="739">
        <f>IF(AG91&gt;$AK$27,0,ROUND(AK90*(1+$AK$25),0))</f>
        <v>-17863</v>
      </c>
      <c r="AL91" s="739">
        <f>AL90*1.03</f>
        <v>-37325.694404608039</v>
      </c>
      <c r="AM91" s="739">
        <f>SUM(AH91:AL91)</f>
        <v>115068.3161755279</v>
      </c>
      <c r="AN91" s="739">
        <v>0</v>
      </c>
      <c r="AO91" s="739">
        <f>SUM(AM91:AN91)*0.5*0.9</f>
        <v>51780.742278987571</v>
      </c>
      <c r="AP91" s="740">
        <f>AO91*(1/((1+$AK$28)^(AG91-0.5)))</f>
        <v>2430.022782825696</v>
      </c>
      <c r="AQ91" s="310">
        <f>AP91</f>
        <v>2430.022782825696</v>
      </c>
      <c r="AR91" s="287"/>
      <c r="AS91" s="30"/>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row>
    <row r="92" ht="18" customHeight="1" hidden="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672"/>
      <c r="AA92" s="30"/>
      <c r="AB92" s="11"/>
      <c r="AC92" s="11"/>
      <c r="AD92" s="11"/>
      <c r="AE92" s="11"/>
      <c r="AF92" s="746">
        <f>AF91+1</f>
        <v>53</v>
      </c>
      <c r="AG92" s="106">
        <v>54</v>
      </c>
      <c r="AH92" s="743">
        <f>AH91*(1+$AK$23)</f>
        <v>189317.10089754</v>
      </c>
      <c r="AI92" s="739">
        <f>ROUND(-AH92*$AK$19,0)</f>
        <v>-3786</v>
      </c>
      <c r="AJ92" s="739">
        <f>IF(AG92&gt;$AK$27,0,ROUND(AJ91*(1+$AK$24),0))</f>
        <v>-10166</v>
      </c>
      <c r="AK92" s="739">
        <f>IF(AG92&gt;$AK$27,0,ROUND(AK91*(1+$AK$25),0))</f>
        <v>-18399</v>
      </c>
      <c r="AL92" s="739">
        <f>AL91*1.03</f>
        <v>-38445.465236746284</v>
      </c>
      <c r="AM92" s="739">
        <f>SUM(AH92:AL92)</f>
        <v>118520.6356607938</v>
      </c>
      <c r="AN92" s="739">
        <v>0</v>
      </c>
      <c r="AO92" s="739">
        <f>SUM(AM92:AN92)*0.5*0.9</f>
        <v>53334.286047357193</v>
      </c>
      <c r="AP92" s="740">
        <f>AO92*(1/((1+$AK$28)^(AG92-0.5)))</f>
        <v>2361.253932258606</v>
      </c>
      <c r="AQ92" s="310">
        <f>AP92</f>
        <v>2361.253932258606</v>
      </c>
      <c r="AR92" s="287"/>
      <c r="AS92" s="30"/>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row>
    <row r="93" ht="18" customHeight="1" hidden="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672"/>
      <c r="AA93" s="30"/>
      <c r="AB93" s="11"/>
      <c r="AC93" s="11"/>
      <c r="AD93" s="11"/>
      <c r="AE93" s="11"/>
      <c r="AF93" s="746">
        <f>AF92+1</f>
        <v>54</v>
      </c>
      <c r="AG93" s="106">
        <v>55</v>
      </c>
      <c r="AH93" s="743">
        <f>AH92*(1+$AK$23)</f>
        <v>194996.6139244662</v>
      </c>
      <c r="AI93" s="739">
        <f>ROUND(-AH93*$AK$19,0)</f>
        <v>-3900</v>
      </c>
      <c r="AJ93" s="739">
        <f>IF(AG93&gt;$AK$27,0,ROUND(AJ92*(1+$AK$24),0))</f>
        <v>-10471</v>
      </c>
      <c r="AK93" s="739">
        <f>IF(AG93&gt;$AK$27,0,ROUND(AK92*(1+$AK$25),0))</f>
        <v>-18951</v>
      </c>
      <c r="AL93" s="739">
        <f>AL92*1.03</f>
        <v>-39598.829193848673</v>
      </c>
      <c r="AM93" s="739">
        <f>SUM(AH93:AL93)</f>
        <v>122075.7847306176</v>
      </c>
      <c r="AN93" s="739">
        <v>0</v>
      </c>
      <c r="AO93" s="739">
        <f>SUM(AM93:AN93)*0.5*0.9</f>
        <v>54934.1031287779</v>
      </c>
      <c r="AP93" s="740">
        <f>AO93*(1/((1+$AK$28)^(AG93-0.5)))</f>
        <v>2294.417157118874</v>
      </c>
      <c r="AQ93" s="310">
        <f>AP93</f>
        <v>2294.417157118874</v>
      </c>
      <c r="AR93" s="287"/>
      <c r="AS93" s="30"/>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row>
    <row r="94" ht="18" customHeight="1" hidden="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672"/>
      <c r="AA94" s="30"/>
      <c r="AB94" s="11"/>
      <c r="AC94" s="11"/>
      <c r="AD94" s="11"/>
      <c r="AE94" s="11"/>
      <c r="AF94" s="746">
        <f>AF93+1</f>
        <v>55</v>
      </c>
      <c r="AG94" s="106">
        <v>56</v>
      </c>
      <c r="AH94" s="743">
        <f>AH93*(1+$AK$23)</f>
        <v>200846.5123422002</v>
      </c>
      <c r="AI94" s="739">
        <f>ROUND(-AH94*$AK$19,0)</f>
        <v>-4017</v>
      </c>
      <c r="AJ94" s="739">
        <f>IF(AG94&gt;$AK$27,0,ROUND(AJ93*(1+$AK$24),0))</f>
        <v>-10785</v>
      </c>
      <c r="AK94" s="739">
        <f>IF(AG94&gt;$AK$27,0,ROUND(AK93*(1+$AK$25),0))</f>
        <v>-19520</v>
      </c>
      <c r="AL94" s="739">
        <f>AL93*1.03</f>
        <v>-40786.794069664131</v>
      </c>
      <c r="AM94" s="739">
        <f>SUM(AH94:AL94)</f>
        <v>125737.7182725361</v>
      </c>
      <c r="AN94" s="739">
        <v>0</v>
      </c>
      <c r="AO94" s="739">
        <f>SUM(AM94:AN94)*0.5*0.9</f>
        <v>56581.973222641245</v>
      </c>
      <c r="AP94" s="740">
        <f>AO94*(1/((1+$AK$28)^(AG94-0.5)))</f>
        <v>2229.474793891216</v>
      </c>
      <c r="AQ94" s="310">
        <f>AP94</f>
        <v>2229.474793891216</v>
      </c>
      <c r="AR94" s="287"/>
      <c r="AS94" s="30"/>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row>
    <row r="95" ht="18" customHeight="1" hidden="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672"/>
      <c r="AA95" s="30"/>
      <c r="AB95" s="11"/>
      <c r="AC95" s="11"/>
      <c r="AD95" s="11"/>
      <c r="AE95" s="11"/>
      <c r="AF95" s="746">
        <f>AF94+1</f>
        <v>56</v>
      </c>
      <c r="AG95" s="106">
        <v>57</v>
      </c>
      <c r="AH95" s="743">
        <f>AH94*(1+$AK$23)</f>
        <v>206871.9077124663</v>
      </c>
      <c r="AI95" s="739">
        <f>ROUND(-AH95*$AK$19,0)</f>
        <v>-4137</v>
      </c>
      <c r="AJ95" s="739">
        <f>IF(AG95&gt;$AK$27,0,ROUND(AJ94*(1+$AK$24),0))</f>
        <v>-11109</v>
      </c>
      <c r="AK95" s="739">
        <f>IF(AG95&gt;$AK$27,0,ROUND(AK94*(1+$AK$25),0))</f>
        <v>-20106</v>
      </c>
      <c r="AL95" s="739">
        <f>AL94*1.03</f>
        <v>-42010.397891754059</v>
      </c>
      <c r="AM95" s="739">
        <f>SUM(AH95:AL95)</f>
        <v>129509.5098207122</v>
      </c>
      <c r="AN95" s="739">
        <v>0</v>
      </c>
      <c r="AO95" s="739">
        <f>SUM(AM95:AN95)*0.5*0.9</f>
        <v>58279.2794193205</v>
      </c>
      <c r="AP95" s="740">
        <f>AO95*(1/((1+$AK$28)^(AG95-0.5)))</f>
        <v>2166.370763316730</v>
      </c>
      <c r="AQ95" s="310">
        <f>AP95</f>
        <v>2166.370763316730</v>
      </c>
      <c r="AR95" s="287"/>
      <c r="AS95" s="30"/>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row>
    <row r="96" ht="18" customHeight="1" hidden="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672"/>
      <c r="AA96" s="30"/>
      <c r="AB96" s="11"/>
      <c r="AC96" s="11"/>
      <c r="AD96" s="11"/>
      <c r="AE96" s="11"/>
      <c r="AF96" s="746">
        <f>AF95+1</f>
        <v>57</v>
      </c>
      <c r="AG96" s="106">
        <v>58</v>
      </c>
      <c r="AH96" s="743">
        <f>AH95*(1+$AK$23)</f>
        <v>213078.0649438403</v>
      </c>
      <c r="AI96" s="739">
        <f>ROUND(-AH96*$AK$19,0)</f>
        <v>-4262</v>
      </c>
      <c r="AJ96" s="739">
        <f>IF(AG96&gt;$AK$27,0,ROUND(AJ95*(1+$AK$24),0))</f>
        <v>-11442</v>
      </c>
      <c r="AK96" s="739">
        <f>IF(AG96&gt;$AK$27,0,ROUND(AK95*(1+$AK$25),0))</f>
        <v>-20709</v>
      </c>
      <c r="AL96" s="739">
        <f>AL95*1.03</f>
        <v>-43270.709828506682</v>
      </c>
      <c r="AM96" s="739">
        <f>SUM(AH96:AL96)</f>
        <v>133394.3551153336</v>
      </c>
      <c r="AN96" s="739">
        <v>0</v>
      </c>
      <c r="AO96" s="739">
        <f>SUM(AM96:AN96)*0.5*0.9</f>
        <v>60027.459801900106</v>
      </c>
      <c r="AP96" s="740">
        <f>AO96*(1/((1+$AK$28)^(AG96-0.5)))</f>
        <v>2105.051439730891</v>
      </c>
      <c r="AQ96" s="310">
        <f>AP96</f>
        <v>2105.051439730891</v>
      </c>
      <c r="AR96" s="287"/>
      <c r="AS96" s="30"/>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row>
    <row r="97" ht="18" customHeight="1" hidden="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672"/>
      <c r="AA97" s="30"/>
      <c r="AB97" s="11"/>
      <c r="AC97" s="11"/>
      <c r="AD97" s="11"/>
      <c r="AE97" s="11"/>
      <c r="AF97" s="746">
        <f>AF96+1</f>
        <v>58</v>
      </c>
      <c r="AG97" s="106">
        <v>59</v>
      </c>
      <c r="AH97" s="743">
        <f>AH96*(1+$AK$23)</f>
        <v>219470.4068921555</v>
      </c>
      <c r="AI97" s="739">
        <f>ROUND(-AH97*$AK$19,0)</f>
        <v>-4389</v>
      </c>
      <c r="AJ97" s="739">
        <f>IF(AG97&gt;$AK$27,0,ROUND(AJ96*(1+$AK$24),0))</f>
        <v>-11785</v>
      </c>
      <c r="AK97" s="739">
        <f>IF(AG97&gt;$AK$27,0,ROUND(AK96*(1+$AK$25),0))</f>
        <v>-21330</v>
      </c>
      <c r="AL97" s="739">
        <f>AL96*1.03</f>
        <v>-44568.831123361881</v>
      </c>
      <c r="AM97" s="739">
        <f>SUM(AH97:AL97)</f>
        <v>137397.5757687936</v>
      </c>
      <c r="AN97" s="739">
        <v>0</v>
      </c>
      <c r="AO97" s="739">
        <f>SUM(AM97:AN97)*0.5*0.9</f>
        <v>61828.909095957111</v>
      </c>
      <c r="AP97" s="740">
        <f>AO97*(1/((1+$AK$28)^(AG97-0.5)))</f>
        <v>2045.495205702995</v>
      </c>
      <c r="AQ97" s="310">
        <f>AP97</f>
        <v>2045.495205702995</v>
      </c>
      <c r="AR97" s="287"/>
      <c r="AS97" s="30"/>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row>
    <row r="98" ht="18" customHeight="1" hidden="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672"/>
      <c r="AA98" s="30"/>
      <c r="AB98" s="11"/>
      <c r="AC98" s="11"/>
      <c r="AD98" s="11"/>
      <c r="AE98" s="11"/>
      <c r="AF98" s="746">
        <f>AF97+1</f>
        <v>59</v>
      </c>
      <c r="AG98" s="106">
        <v>60</v>
      </c>
      <c r="AH98" s="747">
        <f>AH97*(1+$AK$23)</f>
        <v>226054.5190989201</v>
      </c>
      <c r="AI98" s="748">
        <f>ROUND(-AH98*$AK$19,0)</f>
        <v>-4521</v>
      </c>
      <c r="AJ98" s="748">
        <f>IF(AG98&gt;$AK$27,0,ROUND(AJ97*(1+$AK$24),0))</f>
        <v>-12139</v>
      </c>
      <c r="AK98" s="748">
        <f>IF(AG98&gt;$AK$27,0,ROUND(AK97*(1+$AK$25),0))</f>
        <v>-21970</v>
      </c>
      <c r="AL98" s="748">
        <f>AL97*1.03</f>
        <v>-45905.896057062739</v>
      </c>
      <c r="AM98" s="748">
        <f>SUM(AH98:AL98)</f>
        <v>141518.6230418574</v>
      </c>
      <c r="AN98" s="748">
        <v>0</v>
      </c>
      <c r="AO98" s="748">
        <f>SUM(AM98:AN98)*0.5*0.9</f>
        <v>63683.380368835824</v>
      </c>
      <c r="AP98" s="749">
        <f>AO98*(1/((1+$AK$28)^(AG98-0.5)))</f>
        <v>1987.591472590417</v>
      </c>
      <c r="AQ98" s="310">
        <f>AP98</f>
        <v>1987.591472590417</v>
      </c>
      <c r="AR98" s="310">
        <f>SUM(AQ69:AQ98)</f>
        <v>93233.610429406544</v>
      </c>
      <c r="AS98" s="30"/>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row>
    <row r="99" ht="18.75" customHeight="1" hidden="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672"/>
      <c r="AA99" s="30"/>
      <c r="AB99" s="11"/>
      <c r="AC99" s="11"/>
      <c r="AD99" s="11"/>
      <c r="AE99" s="11"/>
      <c r="AF99" s="635"/>
      <c r="AG99" s="106"/>
      <c r="AH99" s="750">
        <f>SUM(AH39:AH98)</f>
        <v>6443871.822396252</v>
      </c>
      <c r="AI99" s="750">
        <f>SUM(AI39:AI98)</f>
        <v>-128876</v>
      </c>
      <c r="AJ99" s="750">
        <f>SUM(AJ39:AJ98)</f>
        <v>-346022</v>
      </c>
      <c r="AK99" s="750">
        <f>SUM(AK39:AK98)</f>
        <v>-626260</v>
      </c>
      <c r="AL99" s="750">
        <f>SUM(AL39:AL98)</f>
        <v>-1048402.597959153</v>
      </c>
      <c r="AM99" s="750">
        <f>SUM(AM39:AM98)</f>
        <v>4294311.224437101</v>
      </c>
      <c r="AN99" s="750">
        <f>SUM(AN39:AN98)</f>
        <v>0</v>
      </c>
      <c r="AO99" s="750">
        <f>SUM(AO39:AO98)</f>
        <v>2722936.311789311</v>
      </c>
      <c r="AP99" s="750">
        <f>SUM(AP39:AP98)</f>
        <v>700776.1477069472</v>
      </c>
      <c r="AQ99" s="40"/>
      <c r="AR99" s="40"/>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row>
    <row r="100" ht="15.75" customHeight="1" hidden="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672"/>
      <c r="AA100" s="30"/>
      <c r="AB100" s="11"/>
      <c r="AC100" s="11"/>
      <c r="AD100" s="11"/>
      <c r="AE100" s="11"/>
      <c r="AF100" s="11"/>
      <c r="AG100" s="86"/>
      <c r="AH100" s="128"/>
      <c r="AI100" s="128"/>
      <c r="AJ100" s="128"/>
      <c r="AK100" s="128"/>
      <c r="AL100" s="128"/>
      <c r="AM100" s="128"/>
      <c r="AN100" s="128"/>
      <c r="AO100" s="128"/>
      <c r="AP100" s="128"/>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row>
    <row r="101" ht="12.75" customHeight="1" hidden="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672"/>
      <c r="AA101" s="30"/>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row>
    <row r="102" ht="12.75" customHeight="1" hidden="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672"/>
      <c r="AA102" s="30"/>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row>
    <row r="103" ht="12.75" customHeight="1" hidden="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672"/>
      <c r="AA103" s="30"/>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row>
    <row r="104" ht="15" customHeight="1" hidden="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672"/>
      <c r="AA104" s="30"/>
      <c r="AB104" s="11"/>
      <c r="AC104" s="11"/>
      <c r="AD104" s="11"/>
      <c r="AE104" s="11"/>
      <c r="AF104" s="11"/>
      <c r="AG104" s="11"/>
      <c r="AH104" s="11"/>
      <c r="AI104" s="11"/>
      <c r="AJ104" s="11"/>
      <c r="AK104" s="11"/>
      <c r="AL104" t="s" s="751">
        <v>821</v>
      </c>
      <c r="AM104" s="11"/>
      <c r="AN104" s="11"/>
      <c r="AO104" s="11"/>
      <c r="AP104" t="s" s="752">
        <v>874</v>
      </c>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row>
    <row r="105" ht="18" customHeight="1" hidden="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672"/>
      <c r="AA105" s="30"/>
      <c r="AB105" s="11"/>
      <c r="AC105" s="11"/>
      <c r="AD105" s="11"/>
      <c r="AE105" s="11"/>
      <c r="AF105" s="11"/>
      <c r="AG105" s="11"/>
      <c r="AH105" s="11"/>
      <c r="AI105" s="11"/>
      <c r="AJ105" s="11"/>
      <c r="AK105" s="11"/>
      <c r="AL105" s="739">
        <f>-AK17*AK22</f>
        <v>-2557.5</v>
      </c>
      <c r="AM105" s="11"/>
      <c r="AN105" s="11"/>
      <c r="AO105" s="11"/>
      <c r="AP105" s="753">
        <f>H21</f>
        <v>950000</v>
      </c>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row>
    <row r="106" ht="18" customHeight="1" hidden="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672"/>
      <c r="AA106" s="30"/>
      <c r="AB106" s="11"/>
      <c r="AC106" s="11"/>
      <c r="AD106" s="11"/>
      <c r="AE106" s="11"/>
      <c r="AF106" s="11"/>
      <c r="AG106" s="11"/>
      <c r="AH106" s="11"/>
      <c r="AI106" s="11"/>
      <c r="AJ106" s="11"/>
      <c r="AK106" s="11"/>
      <c r="AL106" s="739">
        <f>IF(AG40&gt;$AK$27,0,ROUND(AL105*(1+$AK$26),0))</f>
        <v>-2634</v>
      </c>
      <c r="AM106" s="11"/>
      <c r="AN106" s="11"/>
      <c r="AO106" s="11"/>
      <c r="AP106" s="753">
        <f>AP105*1.03</f>
        <v>978500</v>
      </c>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row>
    <row r="107" ht="18" customHeight="1" hidden="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672"/>
      <c r="AA107" s="30"/>
      <c r="AB107" s="11"/>
      <c r="AC107" s="11"/>
      <c r="AD107" s="11"/>
      <c r="AE107" s="11"/>
      <c r="AF107" s="11"/>
      <c r="AG107" s="11"/>
      <c r="AH107" s="11"/>
      <c r="AI107" s="11"/>
      <c r="AJ107" s="11"/>
      <c r="AK107" s="11"/>
      <c r="AL107" s="739">
        <f>IF(AG41&gt;$AK$27,0,ROUND(AL106*(1+$AK$26),0))</f>
        <v>-2713</v>
      </c>
      <c r="AM107" s="11"/>
      <c r="AN107" s="11"/>
      <c r="AO107" s="11"/>
      <c r="AP107" s="753">
        <f>AP106*1.03</f>
        <v>1007855</v>
      </c>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row>
    <row r="108" ht="18" customHeight="1" hidden="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672"/>
      <c r="AA108" s="30"/>
      <c r="AB108" s="11"/>
      <c r="AC108" s="11"/>
      <c r="AD108" s="11"/>
      <c r="AE108" s="11"/>
      <c r="AF108" s="11"/>
      <c r="AG108" s="11"/>
      <c r="AH108" s="11"/>
      <c r="AI108" s="11"/>
      <c r="AJ108" s="11"/>
      <c r="AK108" s="11"/>
      <c r="AL108" s="739">
        <f>IF(AG42&gt;$AK$27,0,ROUND(AL107*(1+$AK$26),0))</f>
        <v>-2794</v>
      </c>
      <c r="AM108" s="11"/>
      <c r="AN108" s="11"/>
      <c r="AO108" s="11"/>
      <c r="AP108" s="753">
        <f>AP107*1.03</f>
        <v>1038090.65</v>
      </c>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row>
    <row r="109" ht="18" customHeight="1" hidden="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672"/>
      <c r="AA109" s="30"/>
      <c r="AB109" s="11"/>
      <c r="AC109" s="11"/>
      <c r="AD109" s="11"/>
      <c r="AE109" s="11"/>
      <c r="AF109" s="11"/>
      <c r="AG109" s="11"/>
      <c r="AH109" s="11"/>
      <c r="AI109" s="11"/>
      <c r="AJ109" s="11"/>
      <c r="AK109" s="11"/>
      <c r="AL109" s="739">
        <f>IF(AG43&gt;$AK$27,0,ROUND(AL108*(1+$AK$26),0))</f>
        <v>-2878</v>
      </c>
      <c r="AM109" s="11"/>
      <c r="AN109" s="11"/>
      <c r="AO109" s="11"/>
      <c r="AP109" s="753">
        <f>AP108*1.03</f>
        <v>1069233.3695</v>
      </c>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row>
    <row r="110" ht="18" customHeight="1" hidden="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672"/>
      <c r="AA110" s="30"/>
      <c r="AB110" s="11"/>
      <c r="AC110" s="11"/>
      <c r="AD110" s="11"/>
      <c r="AE110" s="11"/>
      <c r="AF110" s="11"/>
      <c r="AG110" s="11"/>
      <c r="AH110" s="11"/>
      <c r="AI110" s="11"/>
      <c r="AJ110" s="11"/>
      <c r="AK110" s="11"/>
      <c r="AL110" s="739">
        <f>IF(AG44&gt;$AK$27,0,ROUND(AL109*(1+$AK$26),0))</f>
        <v>-2964</v>
      </c>
      <c r="AM110" s="11"/>
      <c r="AN110" s="11"/>
      <c r="AO110" s="11"/>
      <c r="AP110" s="753">
        <f>AP109*1.03</f>
        <v>1101310.370585</v>
      </c>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row>
    <row r="111" ht="18" customHeight="1" hidden="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672"/>
      <c r="AA111" s="30"/>
      <c r="AB111" s="11"/>
      <c r="AC111" s="11"/>
      <c r="AD111" s="11"/>
      <c r="AE111" s="11"/>
      <c r="AF111" s="11"/>
      <c r="AG111" s="11"/>
      <c r="AH111" s="11"/>
      <c r="AI111" s="11"/>
      <c r="AJ111" s="11"/>
      <c r="AK111" s="11"/>
      <c r="AL111" s="739">
        <f>IF(AG45&gt;$AK$27,0,ROUND(AL110*(1+$AK$26),0))</f>
        <v>-3053</v>
      </c>
      <c r="AM111" s="11"/>
      <c r="AN111" s="11"/>
      <c r="AO111" s="11"/>
      <c r="AP111" s="753">
        <f>AP110*1.03</f>
        <v>1134349.68170255</v>
      </c>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row>
    <row r="112" ht="18" customHeight="1" hidden="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672"/>
      <c r="AA112" s="30"/>
      <c r="AB112" s="11"/>
      <c r="AC112" s="11"/>
      <c r="AD112" s="11"/>
      <c r="AE112" s="11"/>
      <c r="AF112" s="11"/>
      <c r="AG112" s="11"/>
      <c r="AH112" s="11"/>
      <c r="AI112" s="11"/>
      <c r="AJ112" s="11"/>
      <c r="AK112" s="11"/>
      <c r="AL112" s="739">
        <f>IF(AG46&gt;$AK$27,0,ROUND(AL111*(1+$AK$26),0))</f>
        <v>-3145</v>
      </c>
      <c r="AM112" s="11"/>
      <c r="AN112" s="11"/>
      <c r="AO112" s="11"/>
      <c r="AP112" s="753">
        <f>AP111*1.03</f>
        <v>1168380.172153627</v>
      </c>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row>
    <row r="113" ht="18" customHeight="1" hidden="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672"/>
      <c r="AA113" s="30"/>
      <c r="AB113" s="11"/>
      <c r="AC113" s="11"/>
      <c r="AD113" s="11"/>
      <c r="AE113" s="11"/>
      <c r="AF113" s="11"/>
      <c r="AG113" s="11"/>
      <c r="AH113" s="11"/>
      <c r="AI113" s="11"/>
      <c r="AJ113" s="11"/>
      <c r="AK113" s="11"/>
      <c r="AL113" s="739">
        <f>IF(AG47&gt;$AK$27,0,ROUND(AL112*(1+$AK$26),0))</f>
        <v>-3239</v>
      </c>
      <c r="AM113" s="11"/>
      <c r="AN113" s="11"/>
      <c r="AO113" s="11"/>
      <c r="AP113" s="753">
        <f>AP112*1.03</f>
        <v>1203431.577318236</v>
      </c>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row>
    <row r="114" ht="18" customHeight="1" hidden="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672"/>
      <c r="AA114" s="30"/>
      <c r="AB114" s="11"/>
      <c r="AC114" s="11"/>
      <c r="AD114" s="11"/>
      <c r="AE114" s="11"/>
      <c r="AF114" s="11"/>
      <c r="AG114" s="11"/>
      <c r="AH114" s="11"/>
      <c r="AI114" s="11"/>
      <c r="AJ114" s="11"/>
      <c r="AK114" s="11"/>
      <c r="AL114" s="739">
        <f>IF(AG48&gt;$AK$27,0,ROUND(AL113*(1+$AK$26),0))</f>
        <v>-3336</v>
      </c>
      <c r="AM114" s="11"/>
      <c r="AN114" s="11"/>
      <c r="AO114" s="11"/>
      <c r="AP114" s="753">
        <f>AP113*1.03</f>
        <v>1239534.524637783</v>
      </c>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row>
    <row r="115" ht="18" customHeight="1" hidden="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672"/>
      <c r="AA115" s="30"/>
      <c r="AB115" s="11"/>
      <c r="AC115" s="11"/>
      <c r="AD115" s="11"/>
      <c r="AE115" s="11"/>
      <c r="AF115" s="11"/>
      <c r="AG115" s="11"/>
      <c r="AH115" s="11"/>
      <c r="AI115" s="11"/>
      <c r="AJ115" s="11"/>
      <c r="AK115" s="11"/>
      <c r="AL115" s="739">
        <f>IF(AG49&gt;$AK$27,0,ROUND(AL114*(1+$AK$26),0))</f>
        <v>-3436</v>
      </c>
      <c r="AM115" s="11"/>
      <c r="AN115" s="11"/>
      <c r="AO115" s="11"/>
      <c r="AP115" s="753">
        <f>AP114*1.03</f>
        <v>1276720.560376916</v>
      </c>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row>
    <row r="116" ht="18" customHeight="1" hidden="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672"/>
      <c r="AA116" s="30"/>
      <c r="AB116" s="11"/>
      <c r="AC116" s="11"/>
      <c r="AD116" s="11"/>
      <c r="AE116" s="11"/>
      <c r="AF116" s="11"/>
      <c r="AG116" s="11"/>
      <c r="AH116" s="11"/>
      <c r="AI116" s="11"/>
      <c r="AJ116" s="11"/>
      <c r="AK116" s="11"/>
      <c r="AL116" s="739">
        <f>IF(AG50&gt;$AK$27,0,ROUND(AL115*(1+$AK$26),0))</f>
        <v>-3539</v>
      </c>
      <c r="AM116" s="11"/>
      <c r="AN116" s="11"/>
      <c r="AO116" s="11"/>
      <c r="AP116" s="753">
        <f>AP115*1.03</f>
        <v>1315022.177188224</v>
      </c>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row>
    <row r="117" ht="18" customHeight="1" hidden="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672"/>
      <c r="AA117" s="30"/>
      <c r="AB117" s="11"/>
      <c r="AC117" s="11"/>
      <c r="AD117" s="11"/>
      <c r="AE117" s="11"/>
      <c r="AF117" s="11"/>
      <c r="AG117" s="11"/>
      <c r="AH117" s="11"/>
      <c r="AI117" s="11"/>
      <c r="AJ117" s="11"/>
      <c r="AK117" s="11"/>
      <c r="AL117" s="739">
        <f>IF(AG51&gt;$AK$27,0,ROUND(AL116*(1+$AK$26),0))</f>
        <v>-3645</v>
      </c>
      <c r="AM117" s="11"/>
      <c r="AN117" s="11"/>
      <c r="AO117" s="11"/>
      <c r="AP117" s="753">
        <f>AP116*1.03</f>
        <v>1354472.842503871</v>
      </c>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row>
    <row r="118" ht="18" customHeight="1" hidden="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672"/>
      <c r="AA118" s="30"/>
      <c r="AB118" s="11"/>
      <c r="AC118" s="11"/>
      <c r="AD118" s="11"/>
      <c r="AE118" s="11"/>
      <c r="AF118" s="11"/>
      <c r="AG118" s="11"/>
      <c r="AH118" s="11"/>
      <c r="AI118" s="11"/>
      <c r="AJ118" s="11"/>
      <c r="AK118" s="11"/>
      <c r="AL118" s="739">
        <f>IF(AG52&gt;$AK$27,0,ROUND(AL117*(1+$AK$26),0))</f>
        <v>-3754</v>
      </c>
      <c r="AM118" s="11"/>
      <c r="AN118" s="11"/>
      <c r="AO118" s="11"/>
      <c r="AP118" s="753">
        <f>AP117*1.03</f>
        <v>1395107.027778987</v>
      </c>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row>
    <row r="119" ht="18" customHeight="1" hidden="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672"/>
      <c r="AA119" s="30"/>
      <c r="AB119" s="11"/>
      <c r="AC119" s="11"/>
      <c r="AD119" s="11"/>
      <c r="AE119" s="11"/>
      <c r="AF119" s="11"/>
      <c r="AG119" s="11"/>
      <c r="AH119" s="11"/>
      <c r="AI119" s="11"/>
      <c r="AJ119" s="11"/>
      <c r="AK119" s="11"/>
      <c r="AL119" s="739">
        <f>IF(AG53&gt;$AK$27,0,ROUND(AL118*(1+$AK$26),0))</f>
        <v>-3867</v>
      </c>
      <c r="AM119" s="11"/>
      <c r="AN119" s="11"/>
      <c r="AO119" s="11"/>
      <c r="AP119" s="753">
        <f>AP118*1.03</f>
        <v>1436960.238612357</v>
      </c>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row>
    <row r="120" ht="18" customHeight="1" hidden="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672"/>
      <c r="AA120" s="30"/>
      <c r="AB120" s="11"/>
      <c r="AC120" s="11"/>
      <c r="AD120" s="11"/>
      <c r="AE120" s="11"/>
      <c r="AF120" s="11"/>
      <c r="AG120" s="11"/>
      <c r="AH120" s="11"/>
      <c r="AI120" s="11"/>
      <c r="AJ120" s="11"/>
      <c r="AK120" s="11"/>
      <c r="AL120" s="739">
        <f>IF(AG54&gt;$AK$27,0,ROUND(AL119*(1+$AK$26),0))</f>
        <v>-3983</v>
      </c>
      <c r="AM120" s="11"/>
      <c r="AN120" s="11"/>
      <c r="AO120" s="11"/>
      <c r="AP120" s="753">
        <f>AP119*1.03</f>
        <v>1480069.045770727</v>
      </c>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row>
    <row r="121" ht="18" customHeight="1" hidden="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672"/>
      <c r="AA121" s="30"/>
      <c r="AB121" s="11"/>
      <c r="AC121" s="11"/>
      <c r="AD121" s="11"/>
      <c r="AE121" s="11"/>
      <c r="AF121" s="11"/>
      <c r="AG121" s="11"/>
      <c r="AH121" s="11"/>
      <c r="AI121" s="11"/>
      <c r="AJ121" s="11"/>
      <c r="AK121" s="11"/>
      <c r="AL121" s="739">
        <f>IF(AG55&gt;$AK$27,0,ROUND(AL120*(1+$AK$26),0))</f>
        <v>-4102</v>
      </c>
      <c r="AM121" s="11"/>
      <c r="AN121" s="11"/>
      <c r="AO121" s="11"/>
      <c r="AP121" s="753">
        <f>AP120*1.03</f>
        <v>1524471.117143849</v>
      </c>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row>
    <row r="122" ht="18" customHeight="1" hidden="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672"/>
      <c r="AA122" s="30"/>
      <c r="AB122" s="11"/>
      <c r="AC122" s="11"/>
      <c r="AD122" s="11"/>
      <c r="AE122" s="11"/>
      <c r="AF122" s="11"/>
      <c r="AG122" s="11"/>
      <c r="AH122" s="11"/>
      <c r="AI122" s="11"/>
      <c r="AJ122" s="11"/>
      <c r="AK122" s="11"/>
      <c r="AL122" s="739">
        <f>IF(AG56&gt;$AK$27,0,ROUND(AL121*(1+$AK$26),0))</f>
        <v>-4225</v>
      </c>
      <c r="AM122" s="11"/>
      <c r="AN122" s="11"/>
      <c r="AO122" s="11"/>
      <c r="AP122" s="753">
        <f>AP121*1.03</f>
        <v>1570205.250658165</v>
      </c>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row>
    <row r="123" ht="18" customHeight="1" hidden="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672"/>
      <c r="AA123" s="30"/>
      <c r="AB123" s="11"/>
      <c r="AC123" s="11"/>
      <c r="AD123" s="11"/>
      <c r="AE123" s="11"/>
      <c r="AF123" s="11"/>
      <c r="AG123" s="11"/>
      <c r="AH123" s="11"/>
      <c r="AI123" s="11"/>
      <c r="AJ123" s="11"/>
      <c r="AK123" s="11"/>
      <c r="AL123" s="739">
        <f>IF(AG57&gt;$AK$27,0,ROUND(AL122*(1+$AK$26),0))</f>
        <v>-4352</v>
      </c>
      <c r="AM123" s="11"/>
      <c r="AN123" s="11"/>
      <c r="AO123" s="11"/>
      <c r="AP123" s="753">
        <f>AP122*1.03</f>
        <v>1617311.40817791</v>
      </c>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row>
    <row r="124" ht="18" customHeight="1" hidden="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672"/>
      <c r="AA124" s="30"/>
      <c r="AB124" s="11"/>
      <c r="AC124" s="11"/>
      <c r="AD124" s="11"/>
      <c r="AE124" s="11"/>
      <c r="AF124" s="11"/>
      <c r="AG124" s="11"/>
      <c r="AH124" s="11"/>
      <c r="AI124" s="11"/>
      <c r="AJ124" s="11"/>
      <c r="AK124" s="11"/>
      <c r="AL124" s="739">
        <f>IF(AG58&gt;$AK$27,0,ROUND(AL123*(1+$AK$26),0))</f>
        <v>-4483</v>
      </c>
      <c r="AM124" s="11"/>
      <c r="AN124" s="11"/>
      <c r="AO124" s="11"/>
      <c r="AP124" s="753">
        <f>AP123*1.03</f>
        <v>1665830.750423247</v>
      </c>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row>
    <row r="125" ht="18" customHeight="1" hidden="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672"/>
      <c r="AA125" s="30"/>
      <c r="AB125" s="11"/>
      <c r="AC125" s="11"/>
      <c r="AD125" s="11"/>
      <c r="AE125" s="11"/>
      <c r="AF125" s="11"/>
      <c r="AG125" s="11"/>
      <c r="AH125" s="11"/>
      <c r="AI125" s="11"/>
      <c r="AJ125" s="11"/>
      <c r="AK125" s="11"/>
      <c r="AL125" s="739">
        <f>IF(AG59&gt;$AK$27,0,ROUND(AL124*(1+$AK$26),0))</f>
        <v>-4617</v>
      </c>
      <c r="AM125" s="11"/>
      <c r="AN125" s="11"/>
      <c r="AO125" s="11"/>
      <c r="AP125" s="753">
        <f>AP124*1.03</f>
        <v>1715805.672935945</v>
      </c>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row>
    <row r="126" ht="18" customHeight="1" hidden="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672"/>
      <c r="AA126" s="30"/>
      <c r="AB126" s="11"/>
      <c r="AC126" s="11"/>
      <c r="AD126" s="11"/>
      <c r="AE126" s="11"/>
      <c r="AF126" s="11"/>
      <c r="AG126" s="11"/>
      <c r="AH126" s="11"/>
      <c r="AI126" s="11"/>
      <c r="AJ126" s="11"/>
      <c r="AK126" s="11"/>
      <c r="AL126" s="739">
        <f>IF(AG60&gt;$AK$27,0,ROUND(AL125*(1+$AK$26),0))</f>
        <v>-4756</v>
      </c>
      <c r="AM126" s="11"/>
      <c r="AN126" s="11"/>
      <c r="AO126" s="11"/>
      <c r="AP126" s="753">
        <f>AP125*1.03</f>
        <v>1767279.843124023</v>
      </c>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row>
    <row r="127" ht="18" customHeight="1" hidden="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672"/>
      <c r="AA127" s="30"/>
      <c r="AB127" s="11"/>
      <c r="AC127" s="11"/>
      <c r="AD127" s="11"/>
      <c r="AE127" s="11"/>
      <c r="AF127" s="11"/>
      <c r="AG127" s="11"/>
      <c r="AH127" s="11"/>
      <c r="AI127" s="11"/>
      <c r="AJ127" s="11"/>
      <c r="AK127" s="11"/>
      <c r="AL127" s="739">
        <f>IF(AG61&gt;$AK$27,0,ROUND(AL126*(1+$AK$26),0))</f>
        <v>-4899</v>
      </c>
      <c r="AM127" s="11"/>
      <c r="AN127" s="11"/>
      <c r="AO127" s="11"/>
      <c r="AP127" s="753">
        <f>AP126*1.03</f>
        <v>1820298.238417744</v>
      </c>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row>
    <row r="128" ht="18" customHeight="1" hidden="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672"/>
      <c r="AA128" s="30"/>
      <c r="AB128" s="11"/>
      <c r="AC128" s="11"/>
      <c r="AD128" s="11"/>
      <c r="AE128" s="11"/>
      <c r="AF128" s="11"/>
      <c r="AG128" s="11"/>
      <c r="AH128" s="11"/>
      <c r="AI128" s="11"/>
      <c r="AJ128" s="11"/>
      <c r="AK128" s="11"/>
      <c r="AL128" s="739">
        <f>IF(AG62&gt;$AK$27,0,ROUND(AL127*(1+$AK$26),0))</f>
        <v>-5046</v>
      </c>
      <c r="AM128" s="11"/>
      <c r="AN128" s="11"/>
      <c r="AO128" s="11"/>
      <c r="AP128" s="753">
        <f>AP127*1.03</f>
        <v>1874907.185570276</v>
      </c>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row>
    <row r="129" ht="18" customHeight="1" hidden="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672"/>
      <c r="AA129" s="30"/>
      <c r="AB129" s="11"/>
      <c r="AC129" s="11"/>
      <c r="AD129" s="11"/>
      <c r="AE129" s="11"/>
      <c r="AF129" s="11"/>
      <c r="AG129" s="11"/>
      <c r="AH129" s="11"/>
      <c r="AI129" s="11"/>
      <c r="AJ129" s="11"/>
      <c r="AK129" s="11"/>
      <c r="AL129" s="739">
        <f>IF(AG63&gt;$AK$27,0,ROUND(AL128*(1+$AK$26),0))</f>
        <v>-5197</v>
      </c>
      <c r="AM129" s="11"/>
      <c r="AN129" s="11"/>
      <c r="AO129" s="11"/>
      <c r="AP129" s="753">
        <f>AP128*1.03</f>
        <v>1931154.401137384</v>
      </c>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row>
    <row r="130" ht="18" customHeight="1" hidden="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672"/>
      <c r="AA130" s="30"/>
      <c r="AB130" s="11"/>
      <c r="AC130" s="11"/>
      <c r="AD130" s="11"/>
      <c r="AE130" s="11"/>
      <c r="AF130" s="11"/>
      <c r="AG130" s="11"/>
      <c r="AH130" s="11"/>
      <c r="AI130" s="11"/>
      <c r="AJ130" s="11"/>
      <c r="AK130" s="11"/>
      <c r="AL130" s="739">
        <f>IF(AG64&gt;$AK$27,0,ROUND(AL129*(1+$AK$26),0))</f>
        <v>-5353</v>
      </c>
      <c r="AM130" s="11"/>
      <c r="AN130" s="11"/>
      <c r="AO130" s="11"/>
      <c r="AP130" s="753">
        <f>AP129*1.03</f>
        <v>1989089.033171506</v>
      </c>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row>
    <row r="131" ht="18" customHeight="1" hidden="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672"/>
      <c r="AA131" s="30"/>
      <c r="AB131" s="11"/>
      <c r="AC131" s="11"/>
      <c r="AD131" s="11"/>
      <c r="AE131" s="11"/>
      <c r="AF131" s="11"/>
      <c r="AG131" s="11"/>
      <c r="AH131" s="11"/>
      <c r="AI131" s="11"/>
      <c r="AJ131" s="11"/>
      <c r="AK131" s="11"/>
      <c r="AL131" s="739">
        <f>IF(AG65&gt;$AK$27,0,ROUND(AL130*(1+$AK$26),0))</f>
        <v>-5514</v>
      </c>
      <c r="AM131" s="11"/>
      <c r="AN131" s="11"/>
      <c r="AO131" s="11"/>
      <c r="AP131" s="753">
        <f>AP130*1.03</f>
        <v>2048761.704166651</v>
      </c>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row>
    <row r="132" ht="18" customHeight="1" hidden="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672"/>
      <c r="AA132" s="30"/>
      <c r="AB132" s="11"/>
      <c r="AC132" s="11"/>
      <c r="AD132" s="11"/>
      <c r="AE132" s="11"/>
      <c r="AF132" s="11"/>
      <c r="AG132" s="11"/>
      <c r="AH132" s="11"/>
      <c r="AI132" s="11"/>
      <c r="AJ132" s="11"/>
      <c r="AK132" s="11"/>
      <c r="AL132" s="739">
        <f>IF(AG66&gt;$AK$27,0,ROUND(AL131*(1+$AK$26),0))</f>
        <v>-5679</v>
      </c>
      <c r="AM132" s="11"/>
      <c r="AN132" s="11"/>
      <c r="AO132" s="11"/>
      <c r="AP132" s="753">
        <f>AP131*1.03</f>
        <v>2110224.555291651</v>
      </c>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row>
    <row r="133" ht="18" customHeight="1" hidden="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672"/>
      <c r="AA133" s="30"/>
      <c r="AB133" s="11"/>
      <c r="AC133" s="11"/>
      <c r="AD133" s="11"/>
      <c r="AE133" s="11"/>
      <c r="AF133" s="11"/>
      <c r="AG133" s="11"/>
      <c r="AH133" s="11"/>
      <c r="AI133" s="11"/>
      <c r="AJ133" s="11"/>
      <c r="AK133" s="11"/>
      <c r="AL133" s="739">
        <f>IF(AG67&gt;$AK$27,0,ROUND(AL132*(1+$AK$26),0))</f>
        <v>-5849</v>
      </c>
      <c r="AM133" s="11"/>
      <c r="AN133" s="11"/>
      <c r="AO133" s="11"/>
      <c r="AP133" s="753">
        <f>AP132*1.03</f>
        <v>2173531.2919504</v>
      </c>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row>
    <row r="134" ht="18" customHeight="1" hidden="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672"/>
      <c r="AA134" s="30"/>
      <c r="AB134" s="11"/>
      <c r="AC134" s="11"/>
      <c r="AD134" s="11"/>
      <c r="AE134" s="11"/>
      <c r="AF134" s="11"/>
      <c r="AG134" s="11"/>
      <c r="AH134" s="11"/>
      <c r="AI134" s="11"/>
      <c r="AJ134" s="11"/>
      <c r="AK134" s="11"/>
      <c r="AL134" s="739">
        <f>IF(AG68&gt;$AK$27,0,ROUND(AL133*(1+$AK$26),0))</f>
        <v>-6024</v>
      </c>
      <c r="AM134" s="11"/>
      <c r="AN134" s="11"/>
      <c r="AO134" s="11"/>
      <c r="AP134" s="754">
        <f>AP133*1.03</f>
        <v>2238737.230708912</v>
      </c>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row>
    <row r="135" ht="15" customHeight="1" hidden="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672"/>
      <c r="AA135" s="30"/>
      <c r="AB135" s="11"/>
      <c r="AC135" s="11"/>
      <c r="AD135" s="11"/>
      <c r="AE135" s="11"/>
      <c r="AF135" s="11"/>
      <c r="AG135" s="11"/>
      <c r="AH135" s="11"/>
      <c r="AI135" s="11"/>
      <c r="AJ135" s="11"/>
      <c r="AK135" s="11"/>
      <c r="AL135" s="86">
        <f>SUM(AL105:AL134)</f>
        <v>-121633.5</v>
      </c>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row>
    <row r="136" ht="12.75" customHeight="1" hidden="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672"/>
      <c r="AA136" s="30"/>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row>
    <row r="137" ht="12.75" customHeight="1" hidden="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672"/>
      <c r="AA137" s="30"/>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row>
    <row r="138" ht="12.75" customHeight="1" hidden="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672"/>
      <c r="AA138" s="30"/>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row>
    <row r="139" ht="12.75" customHeight="1" hidden="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672"/>
      <c r="AA139" s="30"/>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row>
    <row r="140" ht="12.75" customHeight="1" hidden="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672"/>
      <c r="AA140" s="30"/>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row>
    <row r="141" ht="12.75" customHeight="1" hidden="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672"/>
      <c r="AA141" s="30"/>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row>
    <row r="142" ht="12.75" customHeight="1" hidden="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672"/>
      <c r="AA142" s="30"/>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row>
    <row r="143" ht="12.75" customHeight="1" hidden="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672"/>
      <c r="AA143" s="30"/>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row>
    <row r="144" ht="12.75" customHeight="1" hidden="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672"/>
      <c r="AA144" s="30"/>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row>
    <row r="145" ht="12.75" customHeight="1" hidden="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672"/>
      <c r="AA145" s="30"/>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row>
    <row r="146" ht="12.75" customHeight="1" hidden="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672"/>
      <c r="AA146" s="30"/>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row>
    <row r="147" ht="12.75" customHeight="1" hidden="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672"/>
      <c r="AA147" s="30"/>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row>
    <row r="148" ht="12.75" customHeight="1" hidden="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672"/>
      <c r="AA148" s="30"/>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row>
    <row r="149" ht="12.75" customHeight="1" hidden="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672"/>
      <c r="AA149" s="30"/>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row>
    <row r="150" ht="12.75" customHeight="1" hidden="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672"/>
      <c r="AA150" s="30"/>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row>
    <row r="151" ht="12.75" customHeight="1" hidden="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672"/>
      <c r="AA151" s="30"/>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row>
    <row r="152" ht="12.75" customHeight="1" hidden="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672"/>
      <c r="AA152" s="30"/>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row>
    <row r="153" ht="12.75" customHeight="1" hidden="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672"/>
      <c r="AA153" s="30"/>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row>
    <row r="154" ht="12.75" customHeight="1" hidden="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672"/>
      <c r="AA154" s="30"/>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row>
    <row r="155" ht="12.75" customHeight="1" hidden="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672"/>
      <c r="AA155" s="30"/>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row>
    <row r="156" ht="12.75" customHeight="1" hidden="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672"/>
      <c r="AA156" s="30"/>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row>
    <row r="157" ht="12.75" customHeight="1" hidden="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672"/>
      <c r="AA157" s="30"/>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row>
    <row r="158" ht="12.75" customHeight="1" hidden="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672"/>
      <c r="AA158" s="30"/>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row>
    <row r="159" ht="12.75" customHeight="1" hidden="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672"/>
      <c r="AA159" s="30"/>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row>
    <row r="160" ht="12.75" customHeight="1" hidden="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672"/>
      <c r="AA160" s="30"/>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row>
    <row r="161" ht="12.75" customHeight="1" hidden="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672"/>
      <c r="AA161" s="30"/>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row>
    <row r="162" ht="12.75" customHeight="1" hidden="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672"/>
      <c r="AA162" s="30"/>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row>
    <row r="163" ht="12.75" customHeight="1" hidden="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672"/>
      <c r="AA163" s="30"/>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row>
    <row r="164" ht="12.75" customHeight="1" hidden="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672"/>
      <c r="AA164" s="30"/>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row>
    <row r="165" ht="12.75" customHeight="1" hidden="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672"/>
      <c r="AA165" s="30"/>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row>
    <row r="166" ht="12.75" customHeight="1" hidden="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672"/>
      <c r="AA166" s="30"/>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row>
    <row r="167" ht="12.75" customHeight="1" hidden="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672"/>
      <c r="AA167" s="30"/>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row>
    <row r="168" ht="12.75" customHeight="1" hidden="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672"/>
      <c r="AA168" s="30"/>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row>
    <row r="169" ht="12.75" customHeight="1" hidden="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672"/>
      <c r="AA169" s="30"/>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row>
    <row r="170" ht="12.75" customHeight="1" hidden="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672"/>
      <c r="AA170" s="30"/>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row>
    <row r="171" ht="12.75" customHeight="1" hidden="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672"/>
      <c r="AA171" s="30"/>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row>
    <row r="172" ht="12.75" customHeight="1" hidden="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672"/>
      <c r="AA172" s="30"/>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row>
    <row r="173" ht="12.75" customHeight="1" hidden="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672"/>
      <c r="AA173" s="30"/>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row>
    <row r="174" ht="12.75" customHeight="1" hidden="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672"/>
      <c r="AA174" s="30"/>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row>
    <row r="175" ht="12.75" customHeight="1" hidden="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672"/>
      <c r="AA175" s="30"/>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row>
    <row r="176" ht="12.75" customHeight="1" hidden="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672"/>
      <c r="AA176" s="30"/>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row>
    <row r="177" ht="12.75" customHeight="1" hidden="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672"/>
      <c r="AA177" s="30"/>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row>
    <row r="178" ht="12.75" customHeight="1" hidden="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672"/>
      <c r="AA178" s="30"/>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row>
    <row r="179" ht="12.75" customHeight="1" hidden="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672"/>
      <c r="AA179" s="30"/>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row>
    <row r="180" ht="12.75" customHeight="1" hidden="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670"/>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row>
    <row r="181" ht="12.75" customHeight="1" hidden="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672"/>
      <c r="AA181" s="30"/>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row>
    <row r="182" ht="12.75" customHeight="1" hidden="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672"/>
      <c r="AA182" s="30"/>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row>
    <row r="183" ht="12.75" customHeight="1" hidden="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672"/>
      <c r="AA183" s="30"/>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row>
    <row r="184" ht="12.75" customHeight="1" hidden="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672"/>
      <c r="AA184" s="30"/>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row>
    <row r="185" ht="12.75" customHeight="1" hidden="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672"/>
      <c r="AA185" s="30"/>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row>
    <row r="186" ht="12.75" customHeight="1" hidden="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672"/>
      <c r="AA186" s="30"/>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row>
    <row r="187" ht="12.75" customHeight="1" hidden="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672"/>
      <c r="AA187" s="30"/>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row>
    <row r="188" ht="12.75" customHeight="1" hidden="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672"/>
      <c r="AA188" s="30"/>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row>
    <row r="189" ht="12.75" customHeight="1" hidden="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672"/>
      <c r="AA189" s="30"/>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row>
    <row r="190" ht="12.75" customHeight="1" hidden="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672"/>
      <c r="AA190" s="30"/>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row>
    <row r="191" ht="12.75" customHeight="1" hidden="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672"/>
      <c r="AA191" s="30"/>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row>
    <row r="192" ht="12.75" customHeight="1" hidden="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672"/>
      <c r="AA192" s="30"/>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row>
    <row r="193" ht="12.75" customHeight="1" hidden="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672"/>
      <c r="AA193" s="30"/>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row>
    <row r="194" ht="12.75" customHeight="1" hidden="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672"/>
      <c r="AA194" s="30"/>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row>
    <row r="195" ht="12.75" customHeight="1" hidden="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672"/>
      <c r="AA195" s="30"/>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row>
    <row r="196" ht="12.75" customHeight="1" hidden="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670"/>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row>
    <row r="197" ht="12.75" customHeight="1" hidden="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672"/>
      <c r="AA197" s="30"/>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row>
    <row r="198" ht="12.75" customHeight="1" hidden="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672"/>
      <c r="AA198" s="30"/>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row>
    <row r="199" ht="12.75" customHeight="1" hidden="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672"/>
      <c r="AA199" s="30"/>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row>
    <row r="200" ht="12.75" customHeight="1" hidden="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672"/>
      <c r="AA200" s="30"/>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row>
    <row r="201" ht="12.75" customHeight="1" hidden="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672"/>
      <c r="AA201" s="30"/>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row>
    <row r="202" ht="12.75" customHeight="1" hidden="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672"/>
      <c r="AA202" s="30"/>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row>
    <row r="203" ht="12.75" customHeight="1" hidden="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672"/>
      <c r="AA203" s="30"/>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row>
    <row r="204" ht="12.75" customHeight="1" hidden="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672"/>
      <c r="AA204" s="30"/>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row>
    <row r="205" ht="12.75" customHeight="1" hidden="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672"/>
      <c r="AA205" s="30"/>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row>
    <row r="206" ht="12.75" customHeight="1" hidden="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672"/>
      <c r="AA206" s="30"/>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row>
    <row r="207" ht="12.75" customHeight="1" hidden="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672"/>
      <c r="AA207" s="30"/>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row>
    <row r="208" ht="12.75" customHeight="1" hidden="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672"/>
      <c r="AA208" s="30"/>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row>
    <row r="209" ht="12.75" customHeight="1" hidden="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672"/>
      <c r="AA209" s="30"/>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row>
    <row r="210" ht="12.75" customHeight="1" hidden="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672"/>
      <c r="AA210" s="30"/>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row>
    <row r="211" ht="12.75" customHeight="1" hidden="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672"/>
      <c r="AA211" s="30"/>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row>
    <row r="212" ht="12.75" customHeight="1" hidden="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672"/>
      <c r="AA212" s="30"/>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row>
    <row r="213" ht="12.75" customHeight="1" hidden="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672"/>
      <c r="AA213" s="30"/>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row>
    <row r="214" ht="12.75" customHeight="1" hidden="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672"/>
      <c r="AA214" s="30"/>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row>
    <row r="215" ht="12.75" customHeight="1" hidden="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672"/>
      <c r="AA215" s="30"/>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row>
    <row r="216" ht="12.75" customHeight="1" hidden="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672"/>
      <c r="AA216" s="30"/>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row>
    <row r="217" ht="12.75" customHeight="1" hidden="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672"/>
      <c r="AA217" s="30"/>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row>
    <row r="218" ht="12.75" customHeight="1" hidden="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672"/>
      <c r="AA218" s="30"/>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row>
    <row r="219" ht="12.75" customHeight="1" hidden="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672"/>
      <c r="AA219" s="30"/>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row>
    <row r="220" ht="12.75" customHeight="1" hidden="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672"/>
      <c r="AA220" s="30"/>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row>
    <row r="221" ht="12.75" customHeight="1" hidden="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672"/>
      <c r="AA221" s="30"/>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row>
    <row r="222" ht="12.75" customHeight="1" hidden="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672"/>
      <c r="AA222" s="30"/>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row>
    <row r="223" ht="12.75" customHeight="1" hidden="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672"/>
      <c r="AA223" s="30"/>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row>
    <row r="224" ht="12.75" customHeight="1" hidden="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672"/>
      <c r="AA224" s="30"/>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row>
    <row r="225" ht="12.75" customHeight="1" hidden="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672"/>
      <c r="AA225" s="30"/>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row>
    <row r="226" ht="12.75" customHeight="1" hidden="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672"/>
      <c r="AA226" s="30"/>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row>
    <row r="227" ht="12.75" customHeight="1" hidden="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672"/>
      <c r="AA227" s="30"/>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row>
    <row r="228" ht="12.75" customHeight="1" hidden="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672"/>
      <c r="AA228" s="30"/>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row>
    <row r="229" ht="12.75" customHeight="1" hidden="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672"/>
      <c r="AA229" s="30"/>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row>
    <row r="230" ht="12.75" customHeight="1" hidden="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672"/>
      <c r="AA230" s="30"/>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row>
    <row r="231" ht="12.75" customHeight="1" hidden="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672"/>
      <c r="AA231" s="30"/>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row>
    <row r="232" ht="12.75" customHeight="1" hidden="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672"/>
      <c r="AA232" s="30"/>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row>
    <row r="233" ht="12.75" customHeight="1" hidden="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672"/>
      <c r="AA233" s="30"/>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row>
    <row r="234" ht="12.75" customHeight="1" hidden="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672"/>
      <c r="AA234" s="30"/>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row>
    <row r="235" ht="12.75" customHeight="1" hidden="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672"/>
      <c r="AA235" s="30"/>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row>
    <row r="236" ht="12.75" customHeight="1" hidden="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672"/>
      <c r="AA236" s="30"/>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row>
    <row r="237" ht="12.75" customHeight="1" hidden="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672"/>
      <c r="AA237" s="30"/>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row>
    <row r="238" ht="12.75" customHeight="1" hidden="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672"/>
      <c r="AA238" s="30"/>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row>
    <row r="239" ht="12.75" customHeight="1" hidden="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672"/>
      <c r="AA239" s="30"/>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row>
    <row r="240" ht="12.75" customHeight="1" hidden="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672"/>
      <c r="AA240" s="30"/>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row>
    <row r="241" ht="12.75" customHeight="1" hidden="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672"/>
      <c r="AA241" s="30"/>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row>
    <row r="242" ht="12.75" customHeight="1" hidden="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672"/>
      <c r="AA242" s="30"/>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row>
    <row r="243" ht="12.75" customHeight="1" hidden="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672"/>
      <c r="AA243" s="30"/>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row>
    <row r="244" ht="12.75" customHeight="1" hidden="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672"/>
      <c r="AA244" s="30"/>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row>
    <row r="245" ht="12.75" customHeight="1" hidden="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672"/>
      <c r="AA245" s="30"/>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row>
    <row r="246" ht="12.75" customHeight="1" hidden="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672"/>
      <c r="AA246" s="30"/>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row>
    <row r="247" ht="12.75" customHeight="1" hidden="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672"/>
      <c r="AA247" s="30"/>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row>
    <row r="248" ht="12.75" customHeight="1" hidden="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672"/>
      <c r="AA248" s="30"/>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row>
    <row r="249" ht="12.75" customHeight="1" hidden="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672"/>
      <c r="AA249" s="30"/>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row>
    <row r="250" ht="12.75" customHeight="1" hidden="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672"/>
      <c r="AA250" s="30"/>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row>
    <row r="251" ht="12.75" customHeight="1" hidden="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672"/>
      <c r="AA251" s="30"/>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row>
    <row r="252" ht="12.75" customHeight="1" hidden="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672"/>
      <c r="AA252" s="30"/>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row>
    <row r="253" ht="12.75" customHeight="1" hidden="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672"/>
      <c r="AA253" s="30"/>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row>
    <row r="254" ht="12.75" customHeight="1" hidden="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672"/>
      <c r="AA254" s="30"/>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row>
    <row r="255" ht="12.75" customHeight="1" hidden="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672"/>
      <c r="AA255" s="30"/>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row>
    <row r="256" ht="12.75" customHeight="1" hidden="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672"/>
      <c r="AA256" s="30"/>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row>
    <row r="257" ht="12.75" customHeight="1" hidden="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672"/>
      <c r="AA257" s="30"/>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row>
    <row r="258" ht="12.75" customHeight="1" hidden="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672"/>
      <c r="AA258" s="30"/>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row>
    <row r="259" ht="12.75" customHeight="1" hidden="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672"/>
      <c r="AA259" s="30"/>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row>
    <row r="260" ht="12.75" customHeight="1" hidden="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672"/>
      <c r="AA260" s="30"/>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row>
    <row r="261" ht="12.75" customHeight="1" hidden="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672"/>
      <c r="AA261" s="30"/>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row>
    <row r="262" ht="12.75" customHeight="1" hidden="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672"/>
      <c r="AA262" s="30"/>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row>
    <row r="263" ht="12.75" customHeight="1" hidden="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672"/>
      <c r="AA263" s="30"/>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row>
    <row r="264" ht="12.75" customHeight="1" hidden="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672"/>
      <c r="AA264" s="30"/>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row>
    <row r="265" ht="12.75" customHeight="1" hidden="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672"/>
      <c r="AA265" s="30"/>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row>
    <row r="266" ht="12.75" customHeight="1" hidden="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672"/>
      <c r="AA266" s="30"/>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row>
    <row r="267" ht="12.75" customHeight="1" hidden="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row>
    <row r="268" ht="12.75" customHeight="1" hidden="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row>
    <row r="269" ht="12.75" customHeight="1" hidden="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row>
    <row r="270" ht="12.75" customHeight="1" hidden="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row>
    <row r="271" ht="12.75" customHeight="1" hidden="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row>
    <row r="272" ht="12.75" customHeight="1" hidden="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row>
    <row r="273" ht="12.75" customHeight="1" hidden="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row>
    <row r="274" ht="12.75" customHeight="1" hidden="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row>
    <row r="275" ht="12.75" customHeight="1" hidden="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row>
    <row r="276" ht="12.75" customHeight="1" hidden="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row>
    <row r="277" ht="12.75" customHeight="1" hidden="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row>
    <row r="278" ht="12.75" customHeight="1" hidden="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row>
    <row r="279" ht="12.75" customHeight="1" hidden="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row>
    <row r="280" ht="12.75" customHeight="1" hidden="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row>
    <row r="281" ht="12.75" customHeight="1" hidden="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row>
    <row r="282" ht="12.75" customHeight="1" hidden="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row>
    <row r="283" ht="12.75" customHeight="1" hidden="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row>
    <row r="284" ht="12.75" customHeight="1" hidden="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row>
    <row r="285" ht="12.75" customHeight="1" hidden="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row>
    <row r="286" ht="12.75" customHeight="1" hidden="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row>
    <row r="287" ht="12.75" customHeight="1" hidden="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row>
    <row r="288" ht="12.75" customHeight="1" hidden="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row>
    <row r="289" ht="12.75" customHeight="1" hidden="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row>
    <row r="290" ht="12.75" customHeight="1" hidden="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row>
    <row r="291" ht="12.75" customHeight="1" hidden="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row>
    <row r="292" ht="12.75" customHeight="1" hidden="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row>
    <row r="293" ht="12.75" customHeight="1" hidden="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row>
    <row r="294" ht="12.75" customHeight="1" hidden="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row>
    <row r="295" ht="12.75" customHeight="1" hidden="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row>
    <row r="296" ht="12.75" customHeight="1" hidden="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row>
    <row r="297" ht="12.75" customHeight="1" hidden="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row>
    <row r="298" ht="12.75" customHeight="1" hidden="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row>
    <row r="299" ht="12.75" customHeight="1" hidden="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row>
    <row r="300" ht="12.75" customHeight="1" hidden="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row>
    <row r="301" ht="12.75" customHeight="1" hidden="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row>
    <row r="302" ht="12.75" customHeight="1" hidden="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row>
    <row r="303" ht="12.75" customHeight="1" hidden="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row>
    <row r="304" ht="12.75" customHeight="1" hidden="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row>
    <row r="305" ht="12.75" customHeight="1" hidden="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row>
    <row r="306" ht="12.75" customHeight="1" hidden="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row>
    <row r="307" ht="12.75" customHeight="1" hidden="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row>
    <row r="308" ht="12.75" customHeight="1" hidden="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row>
    <row r="309" ht="12.75" customHeight="1" hidden="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row>
    <row r="310" ht="12.75" customHeight="1" hidden="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row>
    <row r="311" ht="12.75" customHeight="1" hidden="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row>
    <row r="312" ht="12.75" customHeight="1" hidden="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row>
    <row r="313" ht="12.75" customHeight="1" hidden="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row>
    <row r="314" ht="12.75" customHeight="1" hidden="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row>
    <row r="315" ht="12.75" customHeight="1" hidden="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row>
    <row r="316" ht="12.75" customHeight="1" hidden="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row>
    <row r="317" ht="12.75" customHeight="1" hidden="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row>
    <row r="318" ht="12.75" customHeight="1" hidden="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row>
    <row r="319" ht="12.75" customHeight="1" hidden="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row>
    <row r="320" ht="12.75" customHeight="1" hidden="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row>
    <row r="321" ht="12.75" customHeight="1" hidden="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row>
    <row r="322" ht="12.75" customHeight="1" hidden="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row>
    <row r="323" ht="12.75" customHeight="1" hidden="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row>
    <row r="324" ht="12.75" customHeight="1" hidden="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row>
    <row r="325" ht="12.75" customHeight="1" hidden="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row>
    <row r="326" ht="12.75" customHeight="1" hidden="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row>
    <row r="327" ht="12.75" customHeight="1" hidden="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row>
    <row r="328" ht="12.75" customHeight="1" hidden="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row>
    <row r="329" ht="12.75" customHeight="1" hidden="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row>
    <row r="330" ht="12.75" customHeight="1" hidden="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row>
    <row r="331" ht="12.75" customHeight="1" hidden="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row>
    <row r="332" ht="12.75" customHeight="1" hidden="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row>
    <row r="333" ht="12.75" customHeight="1" hidden="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row>
    <row r="334" ht="12.75" customHeight="1" hidden="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row>
    <row r="335" ht="12.75" customHeight="1" hidden="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row>
    <row r="336" ht="12.75" customHeight="1" hidden="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row>
    <row r="337" ht="12.75" customHeight="1" hidden="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row>
    <row r="338" ht="12.75" customHeight="1" hidden="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row>
    <row r="339" ht="12.75" customHeight="1" hidden="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row>
    <row r="340" ht="12.75" customHeight="1" hidden="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row>
    <row r="341" ht="12.75" customHeight="1" hidden="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row>
    <row r="342" ht="12.75" customHeight="1" hidden="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row>
    <row r="343" ht="12.75" customHeight="1" hidden="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row>
    <row r="344" ht="12.75" customHeight="1" hidden="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row>
    <row r="345" ht="12.75" customHeight="1" hidden="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row>
    <row r="346" ht="12.75" customHeight="1" hidden="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row>
    <row r="347" ht="12.75" customHeight="1" hidden="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row>
    <row r="348" ht="12.75" customHeight="1" hidden="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row>
    <row r="349" ht="12.75" customHeight="1" hidden="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row>
    <row r="350" ht="12.75" customHeight="1" hidden="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row>
    <row r="351" ht="12.75" customHeight="1" hidden="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row>
    <row r="352" ht="12.75" customHeight="1" hidden="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row>
    <row r="353" ht="12.75" customHeight="1" hidden="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row>
    <row r="354" ht="12.75" customHeight="1" hidden="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row>
    <row r="355" ht="12.75" customHeight="1" hidden="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row>
    <row r="356" ht="12.75" customHeight="1" hidden="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row>
    <row r="357" ht="12.75" customHeight="1" hidden="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row>
    <row r="358" ht="12.75" customHeight="1" hidden="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row>
    <row r="359" ht="12.75" customHeight="1" hidden="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row>
    <row r="360" ht="12.75" customHeight="1" hidden="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row>
    <row r="361" ht="12.75" customHeight="1" hidden="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row>
    <row r="362" ht="12.75" customHeight="1" hidden="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row>
    <row r="363" ht="12.75" customHeight="1" hidden="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row>
    <row r="364" ht="12.75" customHeight="1" hidden="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row>
    <row r="365" ht="12.75" customHeight="1" hidden="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row>
    <row r="366" ht="12.75" customHeight="1" hidden="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row>
    <row r="367" ht="12.75" customHeight="1" hidden="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row>
    <row r="368" ht="12.75" customHeight="1" hidden="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row>
    <row r="369" ht="12.75" customHeight="1" hidden="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row>
    <row r="370" ht="12.75" customHeight="1" hidden="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row>
    <row r="371" ht="12.75" customHeight="1" hidden="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row>
    <row r="372" ht="12.75" customHeight="1" hidden="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row>
    <row r="373" ht="12.75" customHeight="1" hidden="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row>
    <row r="374" ht="12.75" customHeight="1" hidden="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row>
    <row r="375" ht="12.75" customHeight="1" hidden="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row>
    <row r="376" ht="12.75" customHeight="1" hidden="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row>
    <row r="377" ht="12.75" customHeight="1" hidden="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row>
    <row r="378" ht="12.75" customHeight="1" hidden="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row>
    <row r="379" ht="12.75" customHeight="1" hidden="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row>
    <row r="380" ht="12.75" customHeight="1" hidden="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row>
    <row r="381" ht="12.75" customHeight="1" hidden="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row>
    <row r="382" ht="12.75" customHeight="1" hidden="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row>
    <row r="383" ht="12.75" customHeight="1" hidden="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row>
    <row r="384" ht="12.75" customHeight="1" hidden="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row>
    <row r="385" ht="12.75" customHeight="1" hidden="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row>
    <row r="386" ht="12.75" customHeight="1" hidden="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row>
    <row r="387" ht="12.75" customHeight="1" hidden="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row>
    <row r="388" ht="12.75" customHeight="1" hidden="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row>
    <row r="389" ht="12.75" customHeight="1" hidden="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row>
    <row r="390" ht="12.75" customHeight="1" hidden="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row>
    <row r="391" ht="12.75" customHeight="1" hidden="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row>
    <row r="392" ht="12.75" customHeight="1" hidden="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row>
    <row r="393" ht="12.75" customHeight="1" hidden="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row>
    <row r="394" ht="12.75" customHeight="1" hidden="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row>
    <row r="395" ht="12.75" customHeight="1" hidden="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row>
    <row r="396" ht="12.75" customHeight="1" hidden="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row>
    <row r="397" ht="12.75" customHeight="1" hidden="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c r="BF397" s="11"/>
      <c r="BG397" s="11"/>
      <c r="BH397" s="11"/>
      <c r="BI397" s="11"/>
      <c r="BJ397" s="11"/>
      <c r="BK397" s="11"/>
      <c r="BL397" s="11"/>
      <c r="BM397" s="11"/>
      <c r="BN397" s="11"/>
      <c r="BO397" s="11"/>
      <c r="BP397" s="11"/>
      <c r="BQ397" s="11"/>
      <c r="BR397" s="11"/>
      <c r="BS397" s="11"/>
      <c r="BT397" s="11"/>
      <c r="BU397" s="11"/>
      <c r="BV397" s="11"/>
      <c r="BW397" s="11"/>
      <c r="BX397" s="11"/>
      <c r="BY397" s="11"/>
      <c r="BZ397" s="11"/>
      <c r="CA397" s="11"/>
      <c r="CB397" s="11"/>
      <c r="CC397" s="11"/>
      <c r="CD397" s="11"/>
      <c r="CE397" s="11"/>
      <c r="CF397" s="11"/>
      <c r="CG397" s="11"/>
      <c r="CH397" s="11"/>
      <c r="CI397" s="11"/>
      <c r="CJ397" s="11"/>
      <c r="CK397" s="11"/>
      <c r="CL397" s="11"/>
      <c r="CM397" s="11"/>
      <c r="CN397" s="11"/>
      <c r="CO397" s="11"/>
      <c r="CP397" s="11"/>
      <c r="CQ397" s="11"/>
      <c r="CR397" s="11"/>
      <c r="CS397" s="11"/>
      <c r="CT397" s="11"/>
    </row>
    <row r="398" ht="12.75" customHeight="1" hidden="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c r="BF398" s="11"/>
      <c r="BG398" s="11"/>
      <c r="BH398" s="11"/>
      <c r="BI398" s="11"/>
      <c r="BJ398" s="11"/>
      <c r="BK398" s="11"/>
      <c r="BL398" s="11"/>
      <c r="BM398" s="11"/>
      <c r="BN398" s="11"/>
      <c r="BO398" s="11"/>
      <c r="BP398" s="11"/>
      <c r="BQ398" s="11"/>
      <c r="BR398" s="11"/>
      <c r="BS398" s="11"/>
      <c r="BT398" s="11"/>
      <c r="BU398" s="11"/>
      <c r="BV398" s="11"/>
      <c r="BW398" s="11"/>
      <c r="BX398" s="11"/>
      <c r="BY398" s="11"/>
      <c r="BZ398" s="11"/>
      <c r="CA398" s="11"/>
      <c r="CB398" s="11"/>
      <c r="CC398" s="11"/>
      <c r="CD398" s="11"/>
      <c r="CE398" s="11"/>
      <c r="CF398" s="11"/>
      <c r="CG398" s="11"/>
      <c r="CH398" s="11"/>
      <c r="CI398" s="11"/>
      <c r="CJ398" s="11"/>
      <c r="CK398" s="11"/>
      <c r="CL398" s="11"/>
      <c r="CM398" s="11"/>
      <c r="CN398" s="11"/>
      <c r="CO398" s="11"/>
      <c r="CP398" s="11"/>
      <c r="CQ398" s="11"/>
      <c r="CR398" s="11"/>
      <c r="CS398" s="11"/>
      <c r="CT398" s="11"/>
    </row>
    <row r="399" ht="12.75" customHeight="1" hidden="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c r="BF399" s="11"/>
      <c r="BG399" s="11"/>
      <c r="BH399" s="11"/>
      <c r="BI399" s="11"/>
      <c r="BJ399" s="11"/>
      <c r="BK399" s="11"/>
      <c r="BL399" s="11"/>
      <c r="BM399" s="11"/>
      <c r="BN399" s="11"/>
      <c r="BO399" s="11"/>
      <c r="BP399" s="11"/>
      <c r="BQ399" s="11"/>
      <c r="BR399" s="11"/>
      <c r="BS399" s="11"/>
      <c r="BT399" s="11"/>
      <c r="BU399" s="11"/>
      <c r="BV399" s="11"/>
      <c r="BW399" s="11"/>
      <c r="BX399" s="11"/>
      <c r="BY399" s="11"/>
      <c r="BZ399" s="11"/>
      <c r="CA399" s="11"/>
      <c r="CB399" s="11"/>
      <c r="CC399" s="11"/>
      <c r="CD399" s="11"/>
      <c r="CE399" s="11"/>
      <c r="CF399" s="11"/>
      <c r="CG399" s="11"/>
      <c r="CH399" s="11"/>
      <c r="CI399" s="11"/>
      <c r="CJ399" s="11"/>
      <c r="CK399" s="11"/>
      <c r="CL399" s="11"/>
      <c r="CM399" s="11"/>
      <c r="CN399" s="11"/>
      <c r="CO399" s="11"/>
      <c r="CP399" s="11"/>
      <c r="CQ399" s="11"/>
      <c r="CR399" s="11"/>
      <c r="CS399" s="11"/>
      <c r="CT399" s="11"/>
    </row>
    <row r="400" ht="12.75" customHeight="1" hidden="1">
      <c r="A400" s="41">
        <v>43436</v>
      </c>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c r="BF400" s="11"/>
      <c r="BG400" s="11"/>
      <c r="BH400" s="11"/>
      <c r="BI400" s="11"/>
      <c r="BJ400" s="11"/>
      <c r="BK400" s="11"/>
      <c r="BL400" s="11"/>
      <c r="BM400" s="11"/>
      <c r="BN400" s="11"/>
      <c r="BO400" s="11"/>
      <c r="BP400" s="11"/>
      <c r="BQ400" s="11"/>
      <c r="BR400" s="11"/>
      <c r="BS400" s="11"/>
      <c r="BT400" s="11"/>
      <c r="BU400" s="11"/>
      <c r="BV400" s="11"/>
      <c r="BW400" s="11"/>
      <c r="BX400" s="11"/>
      <c r="BY400" s="11"/>
      <c r="BZ400" s="11"/>
      <c r="CA400" s="11"/>
      <c r="CB400" s="11"/>
      <c r="CC400" s="11"/>
      <c r="CD400" s="11"/>
      <c r="CE400" s="11"/>
      <c r="CF400" s="11"/>
      <c r="CG400" s="11"/>
      <c r="CH400" s="11"/>
      <c r="CI400" s="11"/>
      <c r="CJ400" s="11"/>
      <c r="CK400" s="11"/>
      <c r="CL400" s="11"/>
      <c r="CM400" s="11"/>
      <c r="CN400" s="11"/>
      <c r="CO400" s="11"/>
      <c r="CP400" s="11"/>
      <c r="CQ400" s="11"/>
      <c r="CR400" s="11"/>
      <c r="CS400" s="11"/>
      <c r="CT400" s="11"/>
    </row>
    <row r="401" ht="12.75" customHeight="1" hidden="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c r="BM401" s="11"/>
      <c r="BN401" s="11"/>
      <c r="BO401" s="11"/>
      <c r="BP401" s="11"/>
      <c r="BQ401" s="11"/>
      <c r="BR401" s="11"/>
      <c r="BS401" s="11"/>
      <c r="BT401" s="11"/>
      <c r="BU401" s="11"/>
      <c r="BV401" s="11"/>
      <c r="BW401" s="11"/>
      <c r="BX401" s="11"/>
      <c r="BY401" s="11"/>
      <c r="BZ401" s="11"/>
      <c r="CA401" s="11"/>
      <c r="CB401" s="11"/>
      <c r="CC401" s="11"/>
      <c r="CD401" s="11"/>
      <c r="CE401" s="11"/>
      <c r="CF401" s="11"/>
      <c r="CG401" s="11"/>
      <c r="CH401" s="11"/>
      <c r="CI401" s="11"/>
      <c r="CJ401" s="11"/>
      <c r="CK401" s="11"/>
      <c r="CL401" s="11"/>
      <c r="CM401" s="11"/>
      <c r="CN401" s="11"/>
      <c r="CO401" s="11"/>
      <c r="CP401" s="11"/>
      <c r="CQ401" s="11"/>
      <c r="CR401" s="11"/>
      <c r="CS401" s="11"/>
      <c r="CT401" s="11"/>
    </row>
    <row r="402" ht="12.75" customHeight="1" hidden="1">
      <c r="A402" s="4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c r="BM402" s="11"/>
      <c r="BN402" s="11"/>
      <c r="BO402" s="11"/>
      <c r="BP402" s="11"/>
      <c r="BQ402" s="11"/>
      <c r="BR402" s="11"/>
      <c r="BS402" s="11"/>
      <c r="BT402" s="11"/>
      <c r="BU402" s="11"/>
      <c r="BV402" s="11"/>
      <c r="BW402" s="11"/>
      <c r="BX402" s="11"/>
      <c r="BY402" s="11"/>
      <c r="BZ402" s="11"/>
      <c r="CA402" s="11"/>
      <c r="CB402" s="11"/>
      <c r="CC402" s="11"/>
      <c r="CD402" s="11"/>
      <c r="CE402" s="11"/>
      <c r="CF402" s="11"/>
      <c r="CG402" s="11"/>
      <c r="CH402" s="11"/>
      <c r="CI402" s="11"/>
      <c r="CJ402" s="11"/>
      <c r="CK402" s="11"/>
      <c r="CL402" s="11"/>
      <c r="CM402" s="11"/>
      <c r="CN402" s="11"/>
      <c r="CO402" s="11"/>
      <c r="CP402" s="11"/>
      <c r="CQ402" s="11"/>
      <c r="CR402" s="11"/>
      <c r="CS402" s="11"/>
      <c r="CT402" s="11"/>
    </row>
    <row r="403" ht="17"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c r="BM403" s="11"/>
      <c r="BN403" s="11"/>
      <c r="BO403" s="11"/>
      <c r="BP403" s="11"/>
      <c r="BQ403" s="11"/>
      <c r="BR403" s="11"/>
      <c r="BS403" s="11"/>
      <c r="BT403" s="11"/>
      <c r="BU403" s="11"/>
      <c r="BV403" s="11"/>
      <c r="BW403" s="11"/>
      <c r="BX403" s="11"/>
      <c r="BY403" s="11"/>
      <c r="BZ403" s="11"/>
      <c r="CA403" s="11"/>
      <c r="CB403" s="11"/>
      <c r="CC403" s="11"/>
      <c r="CD403" s="11"/>
      <c r="CE403" s="11"/>
      <c r="CF403" s="11"/>
      <c r="CG403" s="11"/>
      <c r="CH403" s="11"/>
      <c r="CI403" s="11"/>
      <c r="CJ403" s="11"/>
      <c r="CK403" s="11"/>
      <c r="CL403" s="11"/>
      <c r="CM403" s="11"/>
      <c r="CN403" s="11"/>
      <c r="CO403" s="11"/>
      <c r="CP403" s="11"/>
      <c r="CQ403" s="11"/>
      <c r="CR403" s="11"/>
      <c r="CS403" s="11"/>
      <c r="CT403" s="11"/>
    </row>
  </sheetData>
  <mergeCells count="2">
    <mergeCell ref="B3:C3"/>
    <mergeCell ref="AQ38:AR38"/>
  </mergeCells>
  <pageMargins left="0.75" right="0.75" top="1" bottom="1" header="0.5" footer="0.5"/>
  <pageSetup firstPageNumber="1" fitToHeight="1" fitToWidth="1" scale="100" useFirstPageNumber="0" orientation="portrait" pageOrder="downThenOver"/>
  <headerFooter>
    <oddFooter>&amp;L&amp;"Helvetica,Regular"&amp;12&amp;K000000	&amp;P</oddFooter>
  </headerFooter>
  <drawing r:id="rId1"/>
  <legacyDrawing r:id="rId2"/>
</worksheet>
</file>

<file path=xl/worksheets/sheet14.xml><?xml version="1.0" encoding="utf-8"?>
<worksheet xmlns:r="http://schemas.openxmlformats.org/officeDocument/2006/relationships" xmlns="http://schemas.openxmlformats.org/spreadsheetml/2006/main">
  <sheetPr>
    <pageSetUpPr fitToPage="1"/>
  </sheetPr>
  <dimension ref="A1:EX402"/>
  <sheetViews>
    <sheetView workbookViewId="0" defaultGridColor="0" colorId="16"/>
  </sheetViews>
  <sheetFormatPr defaultColWidth="6.625" defaultRowHeight="12.75" customHeight="1" outlineLevelRow="0" outlineLevelCol="0"/>
  <cols>
    <col min="1" max="1" width="3.75" style="6" customWidth="1"/>
    <col min="2" max="2" width="11.875" style="6" customWidth="1"/>
    <col min="3" max="3" width="12.375" style="6" customWidth="1"/>
    <col min="4" max="4" width="10.375" style="6" customWidth="1"/>
    <col min="5" max="5" width="16.125" style="6" customWidth="1"/>
    <col min="6" max="6" width="9.625" style="6" customWidth="1"/>
    <col min="7" max="7" width="11.5" style="6" customWidth="1"/>
    <col min="8" max="8" width="16.5" style="6" customWidth="1"/>
    <col min="9" max="9" width="9.625" style="6" customWidth="1"/>
    <col min="10" max="10" width="10.125" style="6" customWidth="1"/>
    <col min="11" max="11" width="12.875" style="6" customWidth="1"/>
    <col min="12" max="12" width="15.125" style="6" customWidth="1"/>
    <col min="13" max="13" width="11.375" style="6" customWidth="1"/>
    <col min="14" max="14" width="12.5" style="6" customWidth="1"/>
    <col min="15" max="15" width="11.75" style="6" customWidth="1"/>
    <col min="16" max="16" width="12.125" style="6" customWidth="1"/>
    <col min="17" max="17" width="6.875" style="6" customWidth="1"/>
    <col min="18" max="18" hidden="1" width="6.625" style="6" customWidth="1"/>
    <col min="19" max="19" hidden="1" width="6.625" style="6" customWidth="1"/>
    <col min="20" max="20" hidden="1" width="6.625" style="6" customWidth="1"/>
    <col min="21" max="21" hidden="1" width="6.625" style="6" customWidth="1"/>
    <col min="22" max="22" hidden="1" width="6.625" style="6" customWidth="1"/>
    <col min="23" max="23" hidden="1" width="6.625" style="6" customWidth="1"/>
    <col min="24" max="24" hidden="1" width="6.625" style="6" customWidth="1"/>
    <col min="25" max="25" hidden="1" width="6.625" style="6" customWidth="1"/>
    <col min="26" max="26" hidden="1" width="6.625" style="6" customWidth="1"/>
    <col min="27" max="27" hidden="1" width="6.625" style="6" customWidth="1"/>
    <col min="28" max="28" hidden="1" width="6.625" style="6" customWidth="1"/>
    <col min="29" max="29" hidden="1" width="6.625" style="6" customWidth="1"/>
    <col min="30" max="30" hidden="1" width="6.625" style="6" customWidth="1"/>
    <col min="31" max="31" hidden="1" width="6.625" style="6" customWidth="1"/>
    <col min="32" max="32" hidden="1" width="6.625" style="6" customWidth="1"/>
    <col min="33" max="33" hidden="1" width="6.625" style="6" customWidth="1"/>
    <col min="34" max="34" hidden="1" width="6.625" style="6" customWidth="1"/>
    <col min="35" max="35" hidden="1" width="6.625" style="6" customWidth="1"/>
    <col min="36" max="36" hidden="1" width="6.625" style="6" customWidth="1"/>
    <col min="37" max="37" hidden="1" width="6.625" style="6" customWidth="1"/>
    <col min="38" max="38" hidden="1" width="6.625" style="6" customWidth="1"/>
    <col min="39" max="39" hidden="1" width="6.625" style="6" customWidth="1"/>
    <col min="40" max="40" hidden="1" width="6.625" style="6" customWidth="1"/>
    <col min="41" max="41" hidden="1" width="6.625" style="6" customWidth="1"/>
    <col min="42" max="42" hidden="1" width="6.625" style="6" customWidth="1"/>
    <col min="43" max="43" hidden="1" width="6.625" style="6" customWidth="1"/>
    <col min="44" max="44" hidden="1" width="6.625" style="6" customWidth="1"/>
    <col min="45" max="45" hidden="1" width="6.625" style="6" customWidth="1"/>
    <col min="46" max="46" hidden="1" width="6.625" style="6" customWidth="1"/>
    <col min="47" max="47" hidden="1" width="6.625" style="6" customWidth="1"/>
    <col min="48" max="48" hidden="1" width="6.625" style="6" customWidth="1"/>
    <col min="49" max="49" hidden="1" width="6.625" style="6" customWidth="1"/>
    <col min="50" max="50" hidden="1" width="6.625" style="6" customWidth="1"/>
    <col min="51" max="51" hidden="1" width="6.625" style="6" customWidth="1"/>
    <col min="52" max="52" hidden="1" width="6.625" style="6" customWidth="1"/>
    <col min="53" max="53" hidden="1" width="6.625" style="6" customWidth="1"/>
    <col min="54" max="54" hidden="1" width="6.625" style="6" customWidth="1"/>
    <col min="55" max="55" hidden="1" width="6.625" style="6" customWidth="1"/>
    <col min="56" max="56" hidden="1" width="6.625" style="6" customWidth="1"/>
    <col min="57" max="57" hidden="1" width="6.625" style="6" customWidth="1"/>
    <col min="58" max="58" hidden="1" width="6.625" style="6" customWidth="1"/>
    <col min="59" max="59" hidden="1" width="6.625" style="6" customWidth="1"/>
    <col min="60" max="60" hidden="1" width="6.625" style="6" customWidth="1"/>
    <col min="61" max="61" hidden="1" width="6.625" style="6" customWidth="1"/>
    <col min="62" max="62" hidden="1" width="6.625" style="6" customWidth="1"/>
    <col min="63" max="63" hidden="1" width="6.625" style="6" customWidth="1"/>
    <col min="64" max="64" hidden="1" width="6.625" style="6" customWidth="1"/>
    <col min="65" max="65" hidden="1" width="6.625" style="6" customWidth="1"/>
    <col min="66" max="66" hidden="1" width="6.625" style="6" customWidth="1"/>
    <col min="67" max="67" hidden="1" width="6.625" style="6" customWidth="1"/>
    <col min="68" max="68" hidden="1" width="6.625" style="6" customWidth="1"/>
    <col min="69" max="69" hidden="1" width="6.625" style="6" customWidth="1"/>
    <col min="70" max="70" hidden="1" width="6.625" style="6" customWidth="1"/>
    <col min="71" max="71" hidden="1" width="6.625" style="6" customWidth="1"/>
    <col min="72" max="72" hidden="1" width="6.625" style="6" customWidth="1"/>
    <col min="73" max="73" hidden="1" width="6.625" style="6" customWidth="1"/>
    <col min="74" max="74" hidden="1" width="6.625" style="6" customWidth="1"/>
    <col min="75" max="75" hidden="1" width="6.625" style="6" customWidth="1"/>
    <col min="76" max="76" hidden="1" width="6.625" style="6" customWidth="1"/>
    <col min="77" max="77" hidden="1" width="6.625" style="6" customWidth="1"/>
    <col min="78" max="78" hidden="1" width="6.625" style="6" customWidth="1"/>
    <col min="79" max="79" hidden="1" width="6.625" style="6" customWidth="1"/>
    <col min="80" max="80" hidden="1" width="6.625" style="6" customWidth="1"/>
    <col min="81" max="81" hidden="1" width="6.625" style="6" customWidth="1"/>
    <col min="82" max="82" hidden="1" width="6.625" style="6" customWidth="1"/>
    <col min="83" max="83" hidden="1" width="6.625" style="6" customWidth="1"/>
    <col min="84" max="84" hidden="1" width="6.625" style="6" customWidth="1"/>
    <col min="85" max="85" hidden="1" width="6.625" style="6" customWidth="1"/>
    <col min="86" max="86" hidden="1" width="6.625" style="6" customWidth="1"/>
    <col min="87" max="87" hidden="1" width="6.625" style="6" customWidth="1"/>
    <col min="88" max="88" hidden="1" width="6.625" style="6" customWidth="1"/>
    <col min="89" max="89" hidden="1" width="6.625" style="6" customWidth="1"/>
    <col min="90" max="90" hidden="1" width="6.625" style="6" customWidth="1"/>
    <col min="91" max="91" hidden="1" width="6.625" style="6" customWidth="1"/>
    <col min="92" max="92" hidden="1" width="6.625" style="6" customWidth="1"/>
    <col min="93" max="93" hidden="1" width="6.625" style="6" customWidth="1"/>
    <col min="94" max="94" hidden="1" width="6.625" style="6" customWidth="1"/>
    <col min="95" max="95" hidden="1" width="6.625" style="6" customWidth="1"/>
    <col min="96" max="96" hidden="1" width="6.625" style="6" customWidth="1"/>
    <col min="97" max="97" hidden="1" width="6.625" style="6" customWidth="1"/>
    <col min="98" max="98" hidden="1" width="6.625" style="6" customWidth="1"/>
    <col min="99" max="99" hidden="1" width="6.625" style="6" customWidth="1"/>
    <col min="100" max="100" hidden="1" width="6.625" style="6" customWidth="1"/>
    <col min="101" max="101" hidden="1" width="6.625" style="6" customWidth="1"/>
    <col min="102" max="102" hidden="1" width="6.625" style="6" customWidth="1"/>
    <col min="103" max="103" hidden="1" width="6.625" style="6" customWidth="1"/>
    <col min="104" max="104" hidden="1" width="6.625" style="6" customWidth="1"/>
    <col min="105" max="105" hidden="1" width="6.625" style="6" customWidth="1"/>
    <col min="106" max="106" hidden="1" width="6.625" style="6" customWidth="1"/>
    <col min="107" max="107" hidden="1" width="6.625" style="6" customWidth="1"/>
    <col min="108" max="108" hidden="1" width="6.625" style="6" customWidth="1"/>
    <col min="109" max="109" hidden="1" width="6.625" style="6" customWidth="1"/>
    <col min="110" max="110" hidden="1" width="6.625" style="6" customWidth="1"/>
    <col min="111" max="111" hidden="1" width="6.625" style="6" customWidth="1"/>
    <col min="112" max="112" hidden="1" width="6.625" style="6" customWidth="1"/>
    <col min="113" max="113" hidden="1" width="6.625" style="6" customWidth="1"/>
    <col min="114" max="114" hidden="1" width="6.625" style="6" customWidth="1"/>
    <col min="115" max="115" hidden="1" width="6.625" style="6" customWidth="1"/>
    <col min="116" max="116" hidden="1" width="6.625" style="6" customWidth="1"/>
    <col min="117" max="117" hidden="1" width="6.625" style="6" customWidth="1"/>
    <col min="118" max="118" hidden="1" width="6.625" style="6" customWidth="1"/>
    <col min="119" max="119" hidden="1" width="6.625" style="6" customWidth="1"/>
    <col min="120" max="120" hidden="1" width="6.625" style="6" customWidth="1"/>
    <col min="121" max="121" hidden="1" width="6.625" style="6" customWidth="1"/>
    <col min="122" max="122" hidden="1" width="6.625" style="6" customWidth="1"/>
    <col min="123" max="123" hidden="1" width="6.625" style="6" customWidth="1"/>
    <col min="124" max="124" hidden="1" width="6.625" style="6" customWidth="1"/>
    <col min="125" max="125" hidden="1" width="6.625" style="6" customWidth="1"/>
    <col min="126" max="126" hidden="1" width="6.625" style="6" customWidth="1"/>
    <col min="127" max="127" hidden="1" width="6.625" style="6" customWidth="1"/>
    <col min="128" max="128" hidden="1" width="6.625" style="6" customWidth="1"/>
    <col min="129" max="129" hidden="1" width="6.625" style="6" customWidth="1"/>
    <col min="130" max="130" hidden="1" width="6.625" style="6" customWidth="1"/>
    <col min="131" max="131" hidden="1" width="6.625" style="6" customWidth="1"/>
    <col min="132" max="132" hidden="1" width="6.625" style="6" customWidth="1"/>
    <col min="133" max="133" hidden="1" width="6.625" style="6" customWidth="1"/>
    <col min="134" max="134" hidden="1" width="6.625" style="6" customWidth="1"/>
    <col min="135" max="135" hidden="1" width="6.625" style="6" customWidth="1"/>
    <col min="136" max="136" hidden="1" width="6.625" style="6" customWidth="1"/>
    <col min="137" max="137" hidden="1" width="6.625" style="6" customWidth="1"/>
    <col min="138" max="138" hidden="1" width="6.625" style="6" customWidth="1"/>
    <col min="139" max="139" hidden="1" width="6.625" style="6" customWidth="1"/>
    <col min="140" max="140" hidden="1" width="6.625" style="6" customWidth="1"/>
    <col min="141" max="141" hidden="1" width="6.625" style="6" customWidth="1"/>
    <col min="142" max="142" hidden="1" width="6.625" style="6" customWidth="1"/>
    <col min="143" max="143" hidden="1" width="6.625" style="6" customWidth="1"/>
    <col min="144" max="144" hidden="1" width="6.625" style="6" customWidth="1"/>
    <col min="145" max="145" hidden="1" width="6.625" style="6" customWidth="1"/>
    <col min="146" max="146" hidden="1" width="6.625" style="6" customWidth="1"/>
    <col min="147" max="147" hidden="1" width="6.625" style="6" customWidth="1"/>
    <col min="148" max="148" hidden="1" width="6.625" style="6" customWidth="1"/>
    <col min="149" max="149" hidden="1" width="6.625" style="6" customWidth="1"/>
    <col min="150" max="150" hidden="1" width="6.625" style="6" customWidth="1"/>
    <col min="151" max="151" hidden="1" width="6.625" style="6" customWidth="1"/>
    <col min="152" max="152" hidden="1" width="6.625" style="6" customWidth="1"/>
    <col min="153" max="153" hidden="1" width="6.625" style="6" customWidth="1"/>
    <col min="154" max="154" hidden="1" width="6.625" style="6" customWidth="1"/>
    <col min="155" max="256" width="6.625" style="755" customWidth="1"/>
  </cols>
  <sheetData>
    <row r="1" s="58" customFormat="1" ht="24" customHeight="1">
      <c r="B1" t="s" s="475">
        <v>89</v>
      </c>
      <c r="DA1" s="756">
        <f>$AG$11</f>
        <v>0</v>
      </c>
      <c r="DB1" s="757">
        <f>$AG$12</f>
        <v>0</v>
      </c>
      <c r="DC1" s="757">
        <f>$AG$13</f>
        <v>0</v>
      </c>
      <c r="DD1" s="757">
        <f>$AG$14</f>
        <v>0</v>
      </c>
      <c r="DE1" s="757">
        <f>$AG$15</f>
        <v>0</v>
      </c>
      <c r="DF1" s="757">
        <f>$AG$16</f>
        <v>0</v>
      </c>
      <c r="DG1" s="757">
        <f>$AG$17</f>
        <v>0</v>
      </c>
      <c r="DH1" s="757">
        <f>$AG$18</f>
        <v>0</v>
      </c>
      <c r="DI1" s="757">
        <f>$AG$19</f>
        <v>0</v>
      </c>
      <c r="DJ1" s="757">
        <f>$AG$20</f>
        <v>0</v>
      </c>
      <c r="DK1" s="757">
        <f>$AG$21</f>
        <v>0</v>
      </c>
      <c r="DL1" s="757">
        <f>$AG$22</f>
        <v>0</v>
      </c>
      <c r="DM1" s="757">
        <f>$AG$23</f>
        <v>0</v>
      </c>
      <c r="DN1" s="757">
        <f>$AG$24</f>
        <v>0</v>
      </c>
      <c r="DO1" s="757">
        <f>$AG$25</f>
        <v>0</v>
      </c>
      <c r="DP1" s="757">
        <f>$AG$26</f>
        <v>0</v>
      </c>
      <c r="DQ1" s="757">
        <f>$AG$27</f>
        <v>0</v>
      </c>
      <c r="DR1" s="757">
        <f>$AG$28</f>
        <v>0</v>
      </c>
      <c r="DS1" s="757">
        <f>$AG$29</f>
        <v>0</v>
      </c>
      <c r="DT1" s="757">
        <f>$AG$30</f>
        <v>0</v>
      </c>
      <c r="DU1" s="757">
        <f>$AG$31</f>
        <v>0</v>
      </c>
      <c r="DV1" s="757">
        <f>$AG$32</f>
        <v>0</v>
      </c>
      <c r="DW1" s="757">
        <f>$AG$33</f>
        <v>0</v>
      </c>
      <c r="DX1" s="757">
        <f>$AG$34</f>
        <v>0</v>
      </c>
      <c r="DY1" s="757">
        <f>$AG$35</f>
        <v>0</v>
      </c>
      <c r="DZ1" s="757">
        <f>$AG$36</f>
        <v>0</v>
      </c>
      <c r="EA1" s="757">
        <f>$AG$37</f>
        <v>0</v>
      </c>
      <c r="EB1" s="757">
        <f>$AG$38</f>
        <v>0</v>
      </c>
      <c r="EC1" s="757">
        <f>$AG$39</f>
        <v>0</v>
      </c>
      <c r="ED1" s="757">
        <f>$AG$40</f>
        <v>0</v>
      </c>
      <c r="EE1" s="757">
        <f>$AG$41</f>
        <v>0</v>
      </c>
      <c r="EF1" s="757">
        <f>$AG$42</f>
        <v>0</v>
      </c>
      <c r="EG1" s="757">
        <f>$AG$43</f>
        <v>0</v>
      </c>
      <c r="EH1" s="757">
        <f>$AG$44</f>
        <v>0</v>
      </c>
      <c r="EI1" s="757">
        <f>$AG$45</f>
        <v>0</v>
      </c>
      <c r="EJ1" s="757">
        <f>$AG$46</f>
        <v>0</v>
      </c>
      <c r="EK1" s="757">
        <f>$AG$47</f>
        <v>0</v>
      </c>
      <c r="EL1" s="757">
        <f>$AG$48</f>
        <v>0</v>
      </c>
      <c r="EM1" s="757">
        <f>$AG$49</f>
        <v>0</v>
      </c>
      <c r="EN1" s="757">
        <f>$AG$50</f>
        <v>0</v>
      </c>
      <c r="EO1" s="757">
        <f>$AG$51</f>
        <v>0</v>
      </c>
      <c r="EP1" s="757">
        <f>$AG$52</f>
        <v>0</v>
      </c>
      <c r="EQ1" s="757">
        <f>$AG$53</f>
        <v>0</v>
      </c>
      <c r="ER1" s="757">
        <f>$AG$54</f>
        <v>0</v>
      </c>
      <c r="ES1" s="757">
        <f>$AG$55</f>
        <v>0</v>
      </c>
      <c r="ET1" s="757">
        <f>$AG$56</f>
        <v>0</v>
      </c>
      <c r="EU1" s="757">
        <f>$AG$57</f>
        <v>0</v>
      </c>
      <c r="EV1" s="757">
        <f>$AG$58</f>
        <v>0</v>
      </c>
      <c r="EW1" s="757">
        <f>$AG$59</f>
        <v>0</v>
      </c>
      <c r="EX1" s="758">
        <f>$AG$60</f>
        <v>0</v>
      </c>
    </row>
    <row r="2" s="58" customFormat="1" ht="24" customHeight="1">
      <c r="B2" s="479"/>
      <c r="F2" s="25"/>
      <c r="N2" s="56"/>
      <c r="O2" s="10"/>
      <c r="DB2" s="759"/>
      <c r="DC2" s="759"/>
      <c r="DD2" s="759"/>
      <c r="DE2" s="759"/>
      <c r="DF2" s="759"/>
      <c r="DG2" s="759"/>
      <c r="DH2" s="759"/>
      <c r="DI2" s="759"/>
      <c r="DJ2" s="759"/>
      <c r="DK2" s="759"/>
      <c r="DL2" s="759"/>
      <c r="DM2" s="759"/>
      <c r="DN2" s="759"/>
      <c r="DO2" s="759"/>
      <c r="DP2" s="759"/>
      <c r="DQ2" s="759"/>
      <c r="DR2" s="759"/>
      <c r="DS2" s="759"/>
      <c r="DT2" s="759"/>
      <c r="DU2" s="759"/>
      <c r="DV2" s="759"/>
      <c r="DW2" s="759"/>
      <c r="DX2" s="759"/>
      <c r="DY2" s="759"/>
      <c r="DZ2" s="759"/>
      <c r="EA2" s="759"/>
      <c r="EB2" s="759"/>
      <c r="EC2" s="759"/>
      <c r="ED2" s="759"/>
    </row>
    <row r="3" s="58" customFormat="1" ht="15.75" customHeight="1">
      <c r="B3" t="s" s="59">
        <v>56</v>
      </c>
      <c r="C3" s="61"/>
      <c r="F3" s="10"/>
      <c r="N3" s="56"/>
      <c r="O3" s="12"/>
      <c r="DB3" s="759"/>
      <c r="DC3" s="759"/>
      <c r="DD3" s="759"/>
      <c r="DE3" s="759"/>
      <c r="DF3" s="759"/>
      <c r="DG3" s="759"/>
      <c r="DH3" s="759"/>
      <c r="DI3" s="759"/>
      <c r="DJ3" s="759"/>
      <c r="DK3" s="759"/>
      <c r="DL3" s="759"/>
      <c r="DM3" s="759"/>
      <c r="DN3" s="759"/>
      <c r="DO3" s="759"/>
      <c r="DP3" s="759"/>
      <c r="DQ3" s="759"/>
      <c r="DR3" s="759"/>
      <c r="DS3" s="759"/>
      <c r="DT3" s="759"/>
      <c r="DU3" s="759"/>
      <c r="DV3" s="759"/>
      <c r="DW3" s="759"/>
      <c r="DX3" s="759"/>
      <c r="DY3" s="759"/>
      <c r="DZ3" s="759"/>
      <c r="EA3" s="759"/>
      <c r="EB3" s="759"/>
      <c r="EC3" s="759"/>
      <c r="ED3" s="759"/>
    </row>
    <row r="4" s="58" customFormat="1" ht="15" customHeight="1">
      <c r="B4" t="s" s="484">
        <v>58</v>
      </c>
      <c r="C4" s="485"/>
      <c r="F4" s="486"/>
      <c r="N4" s="56"/>
      <c r="O4" s="56"/>
      <c r="DB4" s="759"/>
      <c r="DC4" s="759"/>
      <c r="DD4" s="759"/>
      <c r="DE4" s="759"/>
      <c r="DF4" s="759"/>
      <c r="DG4" s="759"/>
      <c r="DH4" s="759"/>
      <c r="DI4" s="759"/>
      <c r="DJ4" s="759"/>
      <c r="DK4" s="759"/>
      <c r="DL4" s="759"/>
      <c r="DM4" s="759"/>
      <c r="DN4" s="759"/>
      <c r="DO4" s="759"/>
      <c r="DP4" s="759"/>
      <c r="DQ4" s="759"/>
      <c r="DR4" s="759"/>
      <c r="DS4" s="759"/>
      <c r="DT4" s="759"/>
      <c r="DU4" s="759"/>
      <c r="DV4" s="759"/>
      <c r="DW4" s="759"/>
      <c r="DX4" s="759"/>
      <c r="DY4" s="759"/>
      <c r="DZ4" s="759"/>
      <c r="EA4" s="759"/>
      <c r="EB4" s="759"/>
      <c r="EC4" s="759"/>
      <c r="ED4" s="759"/>
    </row>
    <row r="5" s="58" customFormat="1" ht="12.75" customHeight="1">
      <c r="B5" t="s" s="487">
        <v>570</v>
      </c>
      <c r="C5" s="488"/>
      <c r="N5" s="67"/>
      <c r="O5" s="56"/>
      <c r="AQ5" s="62">
        <f>YEAR(AQ9)</f>
        <v>2020</v>
      </c>
      <c r="AR5" s="62">
        <f>YEAR(AR9)</f>
        <v>2020</v>
      </c>
      <c r="AS5" s="62">
        <f>YEAR(AS9)</f>
        <v>2020</v>
      </c>
      <c r="AT5" s="62">
        <f>YEAR(AT9)</f>
        <v>2020</v>
      </c>
      <c r="AU5" s="62">
        <f>YEAR(AU9)</f>
        <v>2020</v>
      </c>
      <c r="AV5" s="62">
        <f>YEAR(AV9)</f>
        <v>2020</v>
      </c>
      <c r="AW5" s="62">
        <f>YEAR(AW9)</f>
        <v>2020</v>
      </c>
      <c r="AX5" s="62">
        <f>YEAR(AX9)</f>
        <v>2020</v>
      </c>
      <c r="AY5" s="62">
        <f>YEAR(AY9)</f>
        <v>2020</v>
      </c>
      <c r="AZ5" s="62">
        <f>YEAR(AZ9)</f>
        <v>2021</v>
      </c>
      <c r="BA5" s="62">
        <f>YEAR(BA9)</f>
        <v>2021</v>
      </c>
      <c r="BB5" s="62">
        <f>YEAR(BB9)</f>
        <v>2021</v>
      </c>
      <c r="BC5" s="62">
        <f>YEAR(BC9)</f>
        <v>2021</v>
      </c>
      <c r="BD5" s="62">
        <f>YEAR(BD9)</f>
        <v>2021</v>
      </c>
      <c r="BE5" s="62">
        <f>YEAR(BE9)</f>
        <v>2021</v>
      </c>
      <c r="BF5" s="62">
        <f>YEAR(BF9)</f>
        <v>2021</v>
      </c>
      <c r="BG5" s="62">
        <f>YEAR(BG9)</f>
        <v>2021</v>
      </c>
      <c r="BH5" s="62">
        <f>YEAR(BH9)</f>
        <v>2021</v>
      </c>
      <c r="BI5" s="62">
        <f>YEAR(BI9)</f>
        <v>2021</v>
      </c>
      <c r="BJ5" s="62">
        <f>YEAR(BJ9)</f>
        <v>2021</v>
      </c>
      <c r="BK5" s="62">
        <f>YEAR(BK9)</f>
        <v>2021</v>
      </c>
      <c r="BL5" s="62">
        <f>YEAR(BL9)</f>
        <v>2022</v>
      </c>
      <c r="BM5" s="62">
        <f>YEAR(BM9)</f>
        <v>2022</v>
      </c>
      <c r="BN5" s="62">
        <f>YEAR(BN9)</f>
        <v>2022</v>
      </c>
      <c r="BO5" s="62">
        <f>YEAR(BO9)</f>
        <v>2022</v>
      </c>
      <c r="BP5" s="62">
        <f>YEAR(BP9)</f>
        <v>2022</v>
      </c>
      <c r="BQ5" s="62">
        <f>YEAR(BQ9)</f>
        <v>2022</v>
      </c>
      <c r="BR5" s="62">
        <f>YEAR(BR9)</f>
        <v>2022</v>
      </c>
      <c r="BS5" s="62">
        <f>YEAR(BS9)</f>
        <v>2022</v>
      </c>
      <c r="BT5" s="62">
        <f>YEAR(BT9)</f>
        <v>2022</v>
      </c>
      <c r="BU5" s="62">
        <f>YEAR(BU9)</f>
        <v>2022</v>
      </c>
      <c r="BV5" s="62">
        <f>YEAR(BV9)</f>
        <v>2022</v>
      </c>
      <c r="BW5" s="62">
        <f>YEAR(BW9)</f>
        <v>2022</v>
      </c>
      <c r="BX5" s="62">
        <f>YEAR(BX9)</f>
        <v>2023</v>
      </c>
      <c r="BY5" s="62">
        <f>YEAR(BY9)</f>
        <v>2023</v>
      </c>
      <c r="BZ5" s="62">
        <f>YEAR(BZ9)</f>
        <v>2023</v>
      </c>
    </row>
    <row r="6" s="58" customFormat="1" ht="12.75" customHeight="1">
      <c r="B6" t="s" s="74">
        <v>734</v>
      </c>
      <c r="C6" s="492"/>
      <c r="E6" s="77"/>
    </row>
    <row r="7" s="58" customFormat="1" ht="12.75" customHeight="1">
      <c r="B7" s="494"/>
      <c r="C7" s="494"/>
    </row>
    <row r="8" s="58" customFormat="1" ht="85.5" customHeight="1">
      <c r="B8" t="s" s="495">
        <v>735</v>
      </c>
      <c r="C8" t="s" s="495">
        <v>736</v>
      </c>
      <c r="D8" t="s" s="495">
        <v>737</v>
      </c>
      <c r="E8" t="s" s="495">
        <v>738</v>
      </c>
      <c r="F8" t="s" s="495">
        <v>739</v>
      </c>
      <c r="G8" t="s" s="495">
        <v>740</v>
      </c>
      <c r="H8" t="s" s="495">
        <v>913</v>
      </c>
      <c r="I8" t="s" s="495">
        <v>184</v>
      </c>
      <c r="J8" t="s" s="495">
        <v>914</v>
      </c>
      <c r="K8" t="s" s="495">
        <v>915</v>
      </c>
      <c r="L8" t="s" s="760">
        <v>916</v>
      </c>
      <c r="M8" t="s" s="760">
        <v>917</v>
      </c>
      <c r="N8" t="s" s="495">
        <v>744</v>
      </c>
      <c r="O8" t="s" s="495">
        <v>918</v>
      </c>
      <c r="P8" t="s" s="495">
        <v>919</v>
      </c>
      <c r="AB8" t="s" s="761">
        <v>920</v>
      </c>
      <c r="AC8" t="s" s="496">
        <v>921</v>
      </c>
      <c r="AD8" s="762"/>
      <c r="AE8" t="s" s="496">
        <v>748</v>
      </c>
      <c r="AF8" t="s" s="763">
        <v>922</v>
      </c>
      <c r="AG8" s="489">
        <f>'Social Rent'!AO28</f>
        <v>0.06</v>
      </c>
      <c r="AH8" s="489"/>
      <c r="AQ8" s="62">
        <f>MONTH(AQ9)</f>
        <v>4</v>
      </c>
      <c r="AR8" s="62">
        <f>MONTH(AR9)</f>
        <v>5</v>
      </c>
      <c r="AS8" s="62">
        <f>MONTH(AS9)</f>
        <v>6</v>
      </c>
      <c r="AT8" s="62">
        <f>MONTH(AT9)</f>
        <v>7</v>
      </c>
      <c r="AU8" s="62">
        <f>MONTH(AU9)</f>
        <v>8</v>
      </c>
      <c r="AV8" s="62">
        <f>MONTH(AV9)</f>
        <v>9</v>
      </c>
      <c r="AW8" s="62">
        <f>MONTH(AW9)</f>
        <v>10</v>
      </c>
      <c r="AX8" s="62">
        <f>MONTH(AX9)</f>
        <v>11</v>
      </c>
      <c r="AY8" s="62">
        <f>MONTH(AY9)</f>
        <v>12</v>
      </c>
      <c r="AZ8" s="62">
        <f>MONTH(AZ9)</f>
        <v>1</v>
      </c>
      <c r="BA8" s="62">
        <f>MONTH(BA9)</f>
        <v>2</v>
      </c>
      <c r="BB8" s="62">
        <f>MONTH(BB9)</f>
        <v>3</v>
      </c>
      <c r="BC8" s="62">
        <f>MONTH(BC9)</f>
        <v>4</v>
      </c>
      <c r="BD8" s="62">
        <f>MONTH(BD9)</f>
        <v>5</v>
      </c>
      <c r="BE8" s="62">
        <f>MONTH(BE9)</f>
        <v>6</v>
      </c>
      <c r="BF8" s="62">
        <f>MONTH(BF9)</f>
        <v>7</v>
      </c>
      <c r="BG8" s="62">
        <f>MONTH(BG9)</f>
        <v>8</v>
      </c>
      <c r="BH8" s="62">
        <f>MONTH(BH9)</f>
        <v>9</v>
      </c>
      <c r="BI8" s="62">
        <f>MONTH(BI9)</f>
        <v>10</v>
      </c>
      <c r="BJ8" s="62">
        <f>MONTH(BJ9)</f>
        <v>11</v>
      </c>
      <c r="BK8" s="62">
        <f>MONTH(BK9)</f>
        <v>12</v>
      </c>
      <c r="BL8" s="62">
        <f>MONTH(BL9)</f>
        <v>1</v>
      </c>
      <c r="BM8" s="62">
        <f>MONTH(BM9)</f>
        <v>2</v>
      </c>
      <c r="BN8" s="62">
        <f>MONTH(BN9)</f>
        <v>3</v>
      </c>
      <c r="BO8" s="62">
        <f>MONTH(BO9)</f>
        <v>4</v>
      </c>
      <c r="BP8" s="62">
        <f>MONTH(BP9)</f>
        <v>5</v>
      </c>
      <c r="BQ8" s="62">
        <f>MONTH(BQ9)</f>
        <v>6</v>
      </c>
      <c r="BR8" s="62">
        <f>MONTH(BR9)</f>
        <v>7</v>
      </c>
      <c r="BS8" s="62">
        <f>MONTH(BS9)</f>
        <v>8</v>
      </c>
      <c r="BT8" s="62">
        <f>MONTH(BT9)</f>
        <v>9</v>
      </c>
      <c r="BU8" s="62">
        <f>MONTH(BU9)</f>
        <v>10</v>
      </c>
      <c r="BV8" s="62">
        <f>MONTH(BV9)</f>
        <v>11</v>
      </c>
      <c r="BW8" s="62">
        <f>MONTH(BW9)</f>
        <v>12</v>
      </c>
      <c r="BX8" s="62">
        <f>MONTH(BX9)</f>
        <v>1</v>
      </c>
      <c r="BY8" s="62">
        <f>MONTH(BY9)</f>
        <v>2</v>
      </c>
      <c r="BZ8" s="62">
        <f>MONTH(BZ9)</f>
        <v>3</v>
      </c>
    </row>
    <row r="9" s="58" customFormat="1" ht="18" customHeight="1">
      <c r="B9" s="505"/>
      <c r="C9" s="505"/>
      <c r="D9" s="505"/>
      <c r="E9" s="505"/>
      <c r="F9" s="505"/>
      <c r="G9" t="s" s="506">
        <v>753</v>
      </c>
      <c r="H9" t="s" s="506">
        <v>754</v>
      </c>
      <c r="I9" t="s" s="506">
        <v>923</v>
      </c>
      <c r="J9" s="764"/>
      <c r="K9" s="764"/>
      <c r="L9" s="764"/>
      <c r="M9" s="764"/>
      <c r="N9" s="764">
        <f>'Project Information'!H16</f>
        <v>0</v>
      </c>
      <c r="O9" s="394"/>
      <c r="P9" s="394"/>
      <c r="AF9" t="s" s="149">
        <v>826</v>
      </c>
      <c r="AG9" t="s" s="62">
        <v>924</v>
      </c>
      <c r="AI9" t="s" s="62">
        <v>817</v>
      </c>
      <c r="AL9" t="s" s="511">
        <v>758</v>
      </c>
      <c r="AM9" t="s" s="62">
        <v>925</v>
      </c>
      <c r="AP9" s="765"/>
      <c r="AQ9" s="765">
        <f>'Project Information'!C25</f>
        <v>43922</v>
      </c>
      <c r="AR9" s="765">
        <f>AQ9+30</f>
        <v>43952</v>
      </c>
      <c r="AS9" s="765">
        <f>AR9+31</f>
        <v>43983</v>
      </c>
      <c r="AT9" s="765">
        <f>AS9+31</f>
        <v>44014</v>
      </c>
      <c r="AU9" s="765">
        <f>AT9+31</f>
        <v>44045</v>
      </c>
      <c r="AV9" s="765">
        <f>AU9+30</f>
        <v>44075</v>
      </c>
      <c r="AW9" s="765">
        <f>AV9+31</f>
        <v>44106</v>
      </c>
      <c r="AX9" s="765">
        <f>AW9+30</f>
        <v>44136</v>
      </c>
      <c r="AY9" s="765">
        <f>AX9+31</f>
        <v>44167</v>
      </c>
      <c r="AZ9" s="765">
        <f>AY9+31</f>
        <v>44198</v>
      </c>
      <c r="BA9" s="765">
        <f>AZ9+31</f>
        <v>44229</v>
      </c>
      <c r="BB9" s="765">
        <f>BA9+28</f>
        <v>44257</v>
      </c>
      <c r="BC9" s="765">
        <f>BB9+31</f>
        <v>44288</v>
      </c>
      <c r="BD9" s="765">
        <f>BC9+30</f>
        <v>44318</v>
      </c>
      <c r="BE9" s="765">
        <f>BD9+31</f>
        <v>44349</v>
      </c>
      <c r="BF9" s="765">
        <f>BE9+31</f>
        <v>44380</v>
      </c>
      <c r="BG9" s="765">
        <f>BF9+31</f>
        <v>44411</v>
      </c>
      <c r="BH9" s="765">
        <f>BG9+30</f>
        <v>44441</v>
      </c>
      <c r="BI9" s="765">
        <f>BH9+31</f>
        <v>44472</v>
      </c>
      <c r="BJ9" s="765">
        <f>BI9+30</f>
        <v>44502</v>
      </c>
      <c r="BK9" s="765">
        <f>BJ9+31</f>
        <v>44533</v>
      </c>
      <c r="BL9" s="765">
        <f>BK9+31</f>
        <v>44564</v>
      </c>
      <c r="BM9" s="765">
        <f>BL9+31</f>
        <v>44595</v>
      </c>
      <c r="BN9" s="765">
        <f>BM9+28</f>
        <v>44623</v>
      </c>
      <c r="BO9" s="765">
        <f>BN9+31</f>
        <v>44654</v>
      </c>
      <c r="BP9" s="765">
        <f>BO9+30</f>
        <v>44684</v>
      </c>
      <c r="BQ9" s="765">
        <f>BP9+31</f>
        <v>44715</v>
      </c>
      <c r="BR9" s="765">
        <f>BQ9+31</f>
        <v>44746</v>
      </c>
      <c r="BS9" s="765">
        <f>BR9+31</f>
        <v>44777</v>
      </c>
      <c r="BT9" s="765">
        <f>BS9+30</f>
        <v>44807</v>
      </c>
      <c r="BU9" s="765">
        <f>BT9+31</f>
        <v>44838</v>
      </c>
      <c r="BV9" s="765">
        <f>BU9+30</f>
        <v>44868</v>
      </c>
      <c r="BW9" s="765">
        <f>BV9+31</f>
        <v>44899</v>
      </c>
      <c r="BX9" s="765">
        <f>BW9+31</f>
        <v>44930</v>
      </c>
      <c r="BY9" s="765">
        <f>BX9+31</f>
        <v>44961</v>
      </c>
      <c r="BZ9" s="765">
        <f>BY9+28</f>
        <v>44989</v>
      </c>
    </row>
    <row r="10" s="58" customFormat="1" ht="18" customHeight="1">
      <c r="B10" t="s" s="517">
        <v>78</v>
      </c>
      <c r="C10" t="s" s="517">
        <v>78</v>
      </c>
      <c r="D10" s="518"/>
      <c r="E10" s="518"/>
      <c r="F10" s="518"/>
      <c r="G10" t="s" s="517">
        <v>78</v>
      </c>
      <c r="H10" t="s" s="517">
        <v>78</v>
      </c>
      <c r="I10" s="518"/>
      <c r="J10" s="518"/>
      <c r="K10" t="s" s="517">
        <v>78</v>
      </c>
      <c r="L10" s="766"/>
      <c r="M10" t="s" s="517">
        <v>78</v>
      </c>
      <c r="N10" s="766"/>
      <c r="O10" s="401"/>
      <c r="P10" s="401"/>
      <c r="AF10" s="176"/>
      <c r="AL10" s="523"/>
      <c r="AP10" s="765"/>
      <c r="AQ10" s="765"/>
      <c r="AR10" s="765"/>
      <c r="AS10" s="765"/>
      <c r="AT10" s="765"/>
      <c r="AU10" s="765"/>
      <c r="AV10" s="765"/>
      <c r="AW10" s="765"/>
      <c r="AX10" s="765"/>
      <c r="AY10" s="765"/>
      <c r="AZ10" s="765"/>
      <c r="BA10" s="765"/>
      <c r="BB10" s="765"/>
      <c r="BC10" s="765"/>
      <c r="BD10" s="765"/>
      <c r="BE10" s="765"/>
      <c r="BF10" s="765"/>
      <c r="BG10" s="765"/>
      <c r="BH10" s="765"/>
      <c r="BI10" s="765"/>
      <c r="BJ10" s="765"/>
      <c r="BK10" s="765"/>
      <c r="BL10" s="765"/>
      <c r="BM10" s="765"/>
      <c r="BN10" s="765"/>
      <c r="BO10" s="765"/>
      <c r="BP10" s="765"/>
      <c r="BQ10" s="765"/>
      <c r="BR10" s="765"/>
      <c r="BS10" s="765"/>
      <c r="BT10" s="765"/>
      <c r="BU10" s="765"/>
      <c r="BV10" s="765"/>
      <c r="BW10" s="765"/>
      <c r="BX10" s="765"/>
      <c r="BY10" s="765"/>
      <c r="BZ10" s="765"/>
    </row>
    <row r="11" s="58" customFormat="1" ht="18" customHeight="1">
      <c r="B11" s="526"/>
      <c r="C11" s="526"/>
      <c r="D11" t="s" s="527">
        <f>LEFT(B11,1)</f>
      </c>
      <c r="E11" s="527">
        <f>IF(C11="",0,(IF(LEN(B11)=5,MID(B11,3,1),MID(B11,3,2))))</f>
        <v>0</v>
      </c>
      <c r="F11" s="527">
        <f>IF(AE11="H","House",IF(AE11="B","Bungalow",IF(AE11="F","Flat",IF(AE11="S","Shared",IF(AE11="T","Bedsit",IF(AE11="A","Wheelchair Flat",IF(AE11="W","Wheelchair",0)))))))</f>
        <v>0</v>
      </c>
      <c r="G11" s="526"/>
      <c r="H11" s="528"/>
      <c r="I11" s="767">
        <f>'Project Information'!H38</f>
        <v>0.5</v>
      </c>
      <c r="J11" s="768">
        <f>H11*I11</f>
        <v>0</v>
      </c>
      <c r="K11" s="769">
        <v>43617</v>
      </c>
      <c r="L11" s="770">
        <f>'Project Information'!H39</f>
        <v>0.0275</v>
      </c>
      <c r="M11" s="666">
        <v>1</v>
      </c>
      <c r="N11" s="540">
        <f>ROUND((H11*L11*(M11-I11))/52,2)</f>
        <v>0</v>
      </c>
      <c r="O11" s="771">
        <f>N11*C11*52</f>
        <v>0</v>
      </c>
      <c r="P11" s="531">
        <f>J11*C11</f>
        <v>0</v>
      </c>
      <c r="AB11" s="759">
        <f>IF(C11=0,0,(C11*G11)/$G$21*$AB$21)</f>
        <v>0</v>
      </c>
      <c r="AC11" s="532">
        <f>AB11*I11</f>
        <v>0</v>
      </c>
      <c r="AD11" s="108"/>
      <c r="AE11" t="s" s="62">
        <f>RIGHT(B11,1)</f>
      </c>
      <c r="AF11" s="62">
        <v>1</v>
      </c>
      <c r="AG11" s="62">
        <f>O21</f>
        <v>0</v>
      </c>
      <c r="AI11" s="599">
        <f>AG11*(1/((1+$AG$8)^(AF11-0.5)))</f>
        <v>0</v>
      </c>
      <c r="AL11" t="s" s="90">
        <v>908</v>
      </c>
      <c r="AM11" t="s" s="189">
        <v>926</v>
      </c>
      <c r="AQ11" s="772">
        <f>IF(AND(MONTH($K11)=$AQ$8,YEAR($K11)=$AQ$5),($J11*$C11),0)</f>
        <v>0</v>
      </c>
      <c r="AR11" s="772">
        <f>IF(AND(MONTH($K11)=$AR$8,YEAR($K11)=$AR$5),($J11*$C11),0)</f>
        <v>0</v>
      </c>
      <c r="AS11" s="772">
        <f>IF(AND(MONTH($K11)=$AS$8,YEAR($K11)=$AS$5),($J11*$C11),0)</f>
        <v>0</v>
      </c>
      <c r="AT11" s="772">
        <f>IF(AND(MONTH($K11)=$AT$8,YEAR($K11)=$AT$5),($J11*$C11),0)</f>
        <v>0</v>
      </c>
      <c r="AU11" s="772">
        <f>IF(AND(MONTH($K11)=$AU$8,YEAR($K11)=$AU$5),($J11*$C11),0)</f>
        <v>0</v>
      </c>
      <c r="AV11" s="772">
        <f>IF(AND(MONTH($K11)=$AV$8,YEAR($K11)=$AV$5),($J11*$C11),0)</f>
        <v>0</v>
      </c>
      <c r="AW11" s="772">
        <f>IF(AND(MONTH($K11)=$AW$8,YEAR($K11)=$AW$5),($J11*$C11),0)</f>
        <v>0</v>
      </c>
      <c r="AX11" s="772">
        <f>IF(AND(MONTH($K11)=$AX$8,YEAR($K11)=$AX$5),($J11*$C11),0)</f>
        <v>0</v>
      </c>
      <c r="AY11" s="772">
        <f>IF(AND(MONTH($K11)=$AY$8,YEAR($K11)=$AY$5),($J11*$C11),0)</f>
        <v>0</v>
      </c>
      <c r="AZ11" s="772">
        <f>IF(AND(MONTH($K11)=$AZ$8,YEAR($K11)=$AZ$5),($J11*$C11),0)</f>
        <v>0</v>
      </c>
      <c r="BA11" s="772">
        <f>IF(AND(MONTH($K11)=$BA$8,YEAR($K11)=$BA$5),($J11*$C11),0)</f>
        <v>0</v>
      </c>
      <c r="BB11" s="772">
        <f>IF(AND(MONTH($K11)=$BB$8,YEAR($K11)=$BB$5),($J11*$C11),0)</f>
        <v>0</v>
      </c>
      <c r="BC11" s="772">
        <f>IF(AND(MONTH($K11)=$BC$8,YEAR($K11)=$BC$5),($J11*$C11),0)</f>
        <v>0</v>
      </c>
      <c r="BD11" s="772">
        <f>IF(AND(MONTH($K11)=$BD$8,YEAR($K11)=$BD$5),($J11*$C11),0)</f>
        <v>0</v>
      </c>
      <c r="BE11" s="772">
        <f>IF(AND(MONTH($K11)=$BE$8,YEAR($K11)=$BE$5),($J11*$C11),0)</f>
        <v>0</v>
      </c>
      <c r="BF11" s="772">
        <f>IF(AND(MONTH($K11)=$BF$8,YEAR($K11)=$BF$5),($J11*$C11),0)</f>
        <v>0</v>
      </c>
      <c r="BG11" s="772">
        <f>IF(AND(MONTH($K11)=$BG$8,YEAR($K11)=$BG$5),($J11*$C11),0)</f>
        <v>0</v>
      </c>
      <c r="BH11" s="772">
        <f>IF(AND(MONTH($K11)=$BH$8,YEAR($K11)=$BH$5),($J11*$C11),0)</f>
        <v>0</v>
      </c>
      <c r="BI11" s="772">
        <f>IF(AND(MONTH($K11)=$BI$8,YEAR($K11)=$BI$5),($J11*$C11),0)</f>
        <v>0</v>
      </c>
      <c r="BJ11" s="772">
        <f>IF(AND(MONTH($K11)=$BJ$8,YEAR($K11)=$BJ$5),($J11*$C11),0)</f>
        <v>0</v>
      </c>
      <c r="BK11" s="772">
        <f>IF(AND(MONTH($K11)=$BK$8,YEAR($K11)=$BK$5),($J11*$C11),0)</f>
        <v>0</v>
      </c>
      <c r="BL11" s="772">
        <f>IF(AND(MONTH($K11)=$BL$8,YEAR($K11)=$BL$5),($J11*$C11),0)</f>
        <v>0</v>
      </c>
      <c r="BM11" s="772">
        <f>IF(AND(MONTH($K11)=$BM$8,YEAR($K11)=$BM$5),($J11*$C11),0)</f>
        <v>0</v>
      </c>
      <c r="BN11" s="772">
        <f>IF(AND(MONTH($K11)=$BN$8,YEAR($K11)=$BN$5),($J11*$C11),0)</f>
        <v>0</v>
      </c>
      <c r="BO11" s="772">
        <f>IF(AND(MONTH($K11)=$BO$8,YEAR($K11)=$BO$5),($J11*$C11),0)</f>
        <v>0</v>
      </c>
      <c r="BP11" s="772">
        <f>IF(AND(MONTH($K11)=$BP$8,YEAR($K11)=$BP$5),($J11*$C11),0)</f>
        <v>0</v>
      </c>
      <c r="BQ11" s="772">
        <f>IF(AND(MONTH($K11)=$BQ$8,YEAR($K11)=$BQ$5),($J11*$C11),0)</f>
        <v>0</v>
      </c>
      <c r="BR11" s="772">
        <f>IF(AND(MONTH($K11)=$BR$8,YEAR($K11)=$BR$5),($J11*$C11),0)</f>
        <v>0</v>
      </c>
      <c r="BS11" s="772">
        <f>IF(AND(MONTH($K11)=$BS$8,YEAR($K11)=$BS$5),($J11*$C11),0)</f>
        <v>0</v>
      </c>
      <c r="BT11" s="772">
        <f>IF(AND(MONTH($K11)=$BT$8,YEAR($K11)=$BT$5),($J11*$C11),0)</f>
        <v>0</v>
      </c>
      <c r="BU11" s="772">
        <f>IF(AND(MONTH($K11)=$BU$8,YEAR($K11)=$BU$5),($J11*$C11),0)</f>
        <v>0</v>
      </c>
      <c r="BV11" s="772">
        <f>IF(AND(MONTH($K11)=$BV$8,YEAR($K11)=$BV$5),($J11*$C11),0)</f>
        <v>0</v>
      </c>
      <c r="BW11" s="772">
        <f>IF(AND(MONTH($K11)=$BW$8,YEAR($K11)=$BW$5),($J11*$C11),0)</f>
        <v>0</v>
      </c>
      <c r="BX11" s="772">
        <f>IF(AND(MONTH($K11)=$BX$8,YEAR($K11)=$BX$5),($J11*$C11),0)</f>
        <v>0</v>
      </c>
      <c r="BY11" s="772">
        <f>IF(AND(MONTH($K11)=$BY$8,YEAR($K11)=$BY$5),($J11*$C11),0)</f>
        <v>0</v>
      </c>
      <c r="BZ11" s="772">
        <f>IF(AND(MONTH($K11)=$BZ$8,YEAR($K11)=$BZ$5),($J11*$C11),0)</f>
        <v>0</v>
      </c>
    </row>
    <row r="12" s="58" customFormat="1" ht="18" customHeight="1">
      <c r="B12" s="539"/>
      <c r="C12" s="539"/>
      <c r="D12" t="s" s="540">
        <f>LEFT(B12,1)</f>
      </c>
      <c r="E12" s="540">
        <f>IF(C12="",0,(IF(LEN(B12)=5,MID(B12,3,1),MID(B12,3,2))))</f>
        <v>0</v>
      </c>
      <c r="F12" s="540">
        <f>IF(AE12="H","House",IF(AE12="B","Bungalow",IF(AE12="F","Flat",IF(AE12="S","Shared",IF(AE12="T","Bedsit",IF(AE12="A","Wheelchair Flat",IF(AE12="W","Wheelchair",0)))))))</f>
        <v>0</v>
      </c>
      <c r="G12" s="539"/>
      <c r="H12" s="541"/>
      <c r="I12" s="773">
        <f>I11</f>
        <v>0.5</v>
      </c>
      <c r="J12" s="774">
        <f>H12*I12</f>
        <v>0</v>
      </c>
      <c r="K12" s="775">
        <v>43647</v>
      </c>
      <c r="L12" s="770">
        <f>L11</f>
        <v>0.0275</v>
      </c>
      <c r="M12" s="678">
        <v>1</v>
      </c>
      <c r="N12" s="540">
        <f>ROUND((H12*L12*(M12-I12))/52,2)</f>
        <v>0</v>
      </c>
      <c r="O12" s="776">
        <f>N12*C12*52</f>
        <v>0</v>
      </c>
      <c r="P12" s="544">
        <f>J12*C12</f>
        <v>0</v>
      </c>
      <c r="AB12" s="759">
        <f>IF(C12=0,0,(C12*G12)/$G$21*$AB$21)</f>
        <v>0</v>
      </c>
      <c r="AC12" s="532">
        <f>AB12*I12</f>
        <v>0</v>
      </c>
      <c r="AD12" s="108"/>
      <c r="AE12" t="s" s="62">
        <f>RIGHT(B12,1)</f>
      </c>
      <c r="AF12" s="62">
        <v>2</v>
      </c>
      <c r="AG12" s="759">
        <f>AG11*(1+'Social Rent'!$AO$23)</f>
        <v>0</v>
      </c>
      <c r="AH12" s="759"/>
      <c r="AI12" s="599">
        <f>AG12*(1/((1+$AG$8)^(AF12-0.5)))</f>
        <v>0</v>
      </c>
      <c r="AL12" t="s" s="90">
        <v>762</v>
      </c>
      <c r="AM12" t="s" s="189">
        <v>927</v>
      </c>
      <c r="AQ12" s="772">
        <f>IF(AND(MONTH($K12)=$AQ$8,YEAR($K12)=$AQ$5),($J12*$C12),0)</f>
        <v>0</v>
      </c>
      <c r="AR12" s="772">
        <f>IF(AND(MONTH($K12)=$AR$8,YEAR($K12)=$AR$5),($J12*$C12),0)</f>
        <v>0</v>
      </c>
      <c r="AS12" s="772">
        <f>IF(AND(MONTH($K12)=$AS$8,YEAR($K12)=$AS$5),($J12*$C12),0)</f>
        <v>0</v>
      </c>
      <c r="AT12" s="772">
        <f>IF(AND(MONTH($K12)=$AT$8,YEAR($K12)=$AT$5),($J12*$C12),0)</f>
        <v>0</v>
      </c>
      <c r="AU12" s="772">
        <f>IF(AND(MONTH($K12)=$AU$8,YEAR($K12)=$AU$5),($J12*$C12),0)</f>
        <v>0</v>
      </c>
      <c r="AV12" s="772">
        <f>IF(AND(MONTH($K12)=$AV$8,YEAR($K12)=$AV$5),($J12*$C12),0)</f>
        <v>0</v>
      </c>
      <c r="AW12" s="772">
        <f>IF(AND(MONTH($K12)=$AW$8,YEAR($K12)=$AW$5),($J12*$C12),0)</f>
        <v>0</v>
      </c>
      <c r="AX12" s="772">
        <f>IF(AND(MONTH($K12)=$AX$8,YEAR($K12)=$AX$5),($J12*$C12),0)</f>
        <v>0</v>
      </c>
      <c r="AY12" s="772">
        <f>IF(AND(MONTH($K12)=$AY$8,YEAR($K12)=$AY$5),($J12*$C12),0)</f>
        <v>0</v>
      </c>
      <c r="AZ12" s="772">
        <f>IF(AND(MONTH($K12)=$AZ$8,YEAR($K12)=$AZ$5),($J12*$C12),0)</f>
        <v>0</v>
      </c>
      <c r="BA12" s="772">
        <f>IF(AND(MONTH($K12)=$BA$8,YEAR($K12)=$BA$5),($J12*$C12),0)</f>
        <v>0</v>
      </c>
      <c r="BB12" s="772">
        <f>IF(AND(MONTH($K12)=$BB$8,YEAR($K12)=$BB$5),($J12*$C12),0)</f>
        <v>0</v>
      </c>
      <c r="BC12" s="772">
        <f>IF(AND(MONTH($K12)=$BC$8,YEAR($K12)=$BC$5),($J12*$C12),0)</f>
        <v>0</v>
      </c>
      <c r="BD12" s="772">
        <f>IF(AND(MONTH($K12)=$BD$8,YEAR($K12)=$BD$5),($J12*$C12),0)</f>
        <v>0</v>
      </c>
      <c r="BE12" s="772">
        <f>IF(AND(MONTH($K12)=$BE$8,YEAR($K12)=$BE$5),($J12*$C12),0)</f>
        <v>0</v>
      </c>
      <c r="BF12" s="772">
        <f>IF(AND(MONTH($K12)=$BF$8,YEAR($K12)=$BF$5),($J12*$C12),0)</f>
        <v>0</v>
      </c>
      <c r="BG12" s="772">
        <f>IF(AND(MONTH($K12)=$BG$8,YEAR($K12)=$BG$5),($J12*$C12),0)</f>
        <v>0</v>
      </c>
      <c r="BH12" s="772">
        <f>IF(AND(MONTH($K12)=$BH$8,YEAR($K12)=$BH$5),($J12*$C12),0)</f>
        <v>0</v>
      </c>
      <c r="BI12" s="772">
        <f>IF(AND(MONTH($K12)=$BI$8,YEAR($K12)=$BI$5),($J12*$C12),0)</f>
        <v>0</v>
      </c>
      <c r="BJ12" s="772">
        <f>IF(AND(MONTH($K12)=$BJ$8,YEAR($K12)=$BJ$5),($J12*$C12),0)</f>
        <v>0</v>
      </c>
      <c r="BK12" s="772">
        <f>IF(AND(MONTH($K12)=$BK$8,YEAR($K12)=$BK$5),($J12*$C12),0)</f>
        <v>0</v>
      </c>
      <c r="BL12" s="772">
        <f>IF(AND(MONTH($K12)=$BL$8,YEAR($K12)=$BL$5),($J12*$C12),0)</f>
        <v>0</v>
      </c>
      <c r="BM12" s="772">
        <f>IF(AND(MONTH($K12)=$BM$8,YEAR($K12)=$BM$5),($J12*$C12),0)</f>
        <v>0</v>
      </c>
      <c r="BN12" s="772">
        <f>IF(AND(MONTH($K12)=$BN$8,YEAR($K12)=$BN$5),($J12*$C12),0)</f>
        <v>0</v>
      </c>
      <c r="BO12" s="772">
        <f>IF(AND(MONTH($K12)=$BO$8,YEAR($K12)=$BO$5),($J12*$C12),0)</f>
        <v>0</v>
      </c>
      <c r="BP12" s="772">
        <f>IF(AND(MONTH($K12)=$BP$8,YEAR($K12)=$BP$5),($J12*$C12),0)</f>
        <v>0</v>
      </c>
      <c r="BQ12" s="772">
        <f>IF(AND(MONTH($K12)=$BQ$8,YEAR($K12)=$BQ$5),($J12*$C12),0)</f>
        <v>0</v>
      </c>
      <c r="BR12" s="772">
        <f>IF(AND(MONTH($K12)=$BR$8,YEAR($K12)=$BR$5),($J12*$C12),0)</f>
        <v>0</v>
      </c>
      <c r="BS12" s="772">
        <f>IF(AND(MONTH($K12)=$BS$8,YEAR($K12)=$BS$5),($J12*$C12),0)</f>
        <v>0</v>
      </c>
      <c r="BT12" s="772">
        <f>IF(AND(MONTH($K12)=$BT$8,YEAR($K12)=$BT$5),($J12*$C12),0)</f>
        <v>0</v>
      </c>
      <c r="BU12" s="772">
        <f>IF(AND(MONTH($K12)=$BU$8,YEAR($K12)=$BU$5),($J12*$C12),0)</f>
        <v>0</v>
      </c>
      <c r="BV12" s="772">
        <f>IF(AND(MONTH($K12)=$BV$8,YEAR($K12)=$BV$5),($J12*$C12),0)</f>
        <v>0</v>
      </c>
      <c r="BW12" s="772">
        <f>IF(AND(MONTH($K12)=$BW$8,YEAR($K12)=$BW$5),($J12*$C12),0)</f>
        <v>0</v>
      </c>
      <c r="BX12" s="772">
        <f>IF(AND(MONTH($K12)=$BX$8,YEAR($K12)=$BX$5),($J12*$C12),0)</f>
        <v>0</v>
      </c>
      <c r="BY12" s="772">
        <f>IF(AND(MONTH($K12)=$BY$8,YEAR($K12)=$BY$5),($J12*$C12),0)</f>
        <v>0</v>
      </c>
      <c r="BZ12" s="772">
        <f>IF(AND(MONTH($K12)=$BZ$8,YEAR($K12)=$BZ$5),($J12*$C12),0)</f>
        <v>0</v>
      </c>
    </row>
    <row r="13" s="58" customFormat="1" ht="18" customHeight="1">
      <c r="B13" s="539"/>
      <c r="C13" s="539"/>
      <c r="D13" t="s" s="540">
        <f>LEFT(B13,1)</f>
      </c>
      <c r="E13" s="540">
        <f>IF(C13="",0,(IF(LEN(B13)=5,MID(B13,3,1),MID(B13,3,2))))</f>
        <v>0</v>
      </c>
      <c r="F13" s="540">
        <f>IF(AE13="H","House",IF(AE13="B","Bungalow",IF(AE13="F","Flat",IF(AE13="S","Shared",IF(AE13="T","Bedsit",IF(AE13="A","Wheelchair Flat",IF(AE13="W","Wheelchair",0)))))))</f>
        <v>0</v>
      </c>
      <c r="G13" s="539"/>
      <c r="H13" s="541"/>
      <c r="I13" s="773">
        <f>I12</f>
        <v>0.5</v>
      </c>
      <c r="J13" s="774">
        <f>H13*I13</f>
        <v>0</v>
      </c>
      <c r="K13" s="775"/>
      <c r="L13" s="770">
        <f>L12</f>
        <v>0.0275</v>
      </c>
      <c r="M13" s="678">
        <v>1</v>
      </c>
      <c r="N13" s="540">
        <f>ROUND((H13*L13*(M13-I13))/52,2)</f>
        <v>0</v>
      </c>
      <c r="O13" s="776">
        <f>N13*C13*52</f>
        <v>0</v>
      </c>
      <c r="P13" s="544">
        <f>J13*C13</f>
        <v>0</v>
      </c>
      <c r="AB13" s="759">
        <f>IF(C13=0,0,(C13*G13)/$G$21*$AB$21)</f>
        <v>0</v>
      </c>
      <c r="AC13" s="532">
        <f>AB13*I13</f>
        <v>0</v>
      </c>
      <c r="AD13" s="108"/>
      <c r="AE13" t="s" s="62">
        <f>RIGHT(B13,1)</f>
      </c>
      <c r="AF13" s="62">
        <v>3</v>
      </c>
      <c r="AG13" s="759">
        <f>AG12*(1+'Social Rent'!$AO$23)</f>
        <v>0</v>
      </c>
      <c r="AH13" s="759"/>
      <c r="AI13" s="599">
        <f>AG13*(1/((1+$AG$8)^(AF13-0.5)))</f>
        <v>0</v>
      </c>
      <c r="AL13" t="s" s="90">
        <v>764</v>
      </c>
      <c r="AM13" t="s" s="189">
        <v>928</v>
      </c>
      <c r="AQ13" s="772">
        <f>IF(AND(MONTH((DATE(1899,12,31)+(0*7+IF($K13&gt;60,$K13-1,$K13))))=$AQ$8,YEAR((DATE(1899,12,31)+(0*7+IF($K13&gt;60,$K13-1,$K13))))=$AQ$5),($J13*$C13),0)</f>
        <v>0</v>
      </c>
      <c r="AR13" s="772">
        <f>IF(AND(MONTH((DATE(1899,12,31)+(0*7+IF($K13&gt;60,$K13-1,$K13))))=$AR$8,YEAR((DATE(1899,12,31)+(0*7+IF($K13&gt;60,$K13-1,$K13))))=$AR$5),($J13*$C13),0)</f>
        <v>0</v>
      </c>
      <c r="AS13" s="772">
        <f>IF(AND(MONTH((DATE(1899,12,31)+(0*7+IF($K13&gt;60,$K13-1,$K13))))=$AS$8,YEAR((DATE(1899,12,31)+(0*7+IF($K13&gt;60,$K13-1,$K13))))=$AS$5),($J13*$C13),0)</f>
        <v>0</v>
      </c>
      <c r="AT13" s="772">
        <f>IF(AND(MONTH((DATE(1899,12,31)+(0*7+IF($K13&gt;60,$K13-1,$K13))))=$AT$8,YEAR((DATE(1899,12,31)+(0*7+IF($K13&gt;60,$K13-1,$K13))))=$AT$5),($J13*$C13),0)</f>
        <v>0</v>
      </c>
      <c r="AU13" s="772">
        <f>IF(AND(MONTH((DATE(1899,12,31)+(0*7+IF($K13&gt;60,$K13-1,$K13))))=$AU$8,YEAR((DATE(1899,12,31)+(0*7+IF($K13&gt;60,$K13-1,$K13))))=$AU$5),($J13*$C13),0)</f>
        <v>0</v>
      </c>
      <c r="AV13" s="772">
        <f>IF(AND(MONTH((DATE(1899,12,31)+(0*7+IF($K13&gt;60,$K13-1,$K13))))=$AV$8,YEAR((DATE(1899,12,31)+(0*7+IF($K13&gt;60,$K13-1,$K13))))=$AV$5),($J13*$C13),0)</f>
        <v>0</v>
      </c>
      <c r="AW13" s="772">
        <f>IF(AND(MONTH((DATE(1899,12,31)+(0*7+IF($K13&gt;60,$K13-1,$K13))))=$AW$8,YEAR((DATE(1899,12,31)+(0*7+IF($K13&gt;60,$K13-1,$K13))))=$AW$5),($J13*$C13),0)</f>
        <v>0</v>
      </c>
      <c r="AX13" s="772">
        <f>IF(AND(MONTH((DATE(1899,12,31)+(0*7+IF($K13&gt;60,$K13-1,$K13))))=$AX$8,YEAR((DATE(1899,12,31)+(0*7+IF($K13&gt;60,$K13-1,$K13))))=$AX$5),($J13*$C13),0)</f>
        <v>0</v>
      </c>
      <c r="AY13" s="772">
        <f>IF(AND(MONTH((DATE(1899,12,31)+(0*7+IF($K13&gt;60,$K13-1,$K13))))=$AY$8,YEAR((DATE(1899,12,31)+(0*7+IF($K13&gt;60,$K13-1,$K13))))=$AY$5),($J13*$C13),0)</f>
        <v>0</v>
      </c>
      <c r="AZ13" s="772">
        <f>IF(AND(MONTH((DATE(1899,12,31)+(0*7+IF($K13&gt;60,$K13-1,$K13))))=$AZ$8,YEAR((DATE(1899,12,31)+(0*7+IF($K13&gt;60,$K13-1,$K13))))=$AZ$5),($J13*$C13),0)</f>
        <v>0</v>
      </c>
      <c r="BA13" s="772">
        <f>IF(AND(MONTH((DATE(1899,12,31)+(0*7+IF($K13&gt;60,$K13-1,$K13))))=$BA$8,YEAR((DATE(1899,12,31)+(0*7+IF($K13&gt;60,$K13-1,$K13))))=$BA$5),($J13*$C13),0)</f>
        <v>0</v>
      </c>
      <c r="BB13" s="772">
        <f>IF(AND(MONTH((DATE(1899,12,31)+(0*7+IF($K13&gt;60,$K13-1,$K13))))=$BB$8,YEAR((DATE(1899,12,31)+(0*7+IF($K13&gt;60,$K13-1,$K13))))=$BB$5),($J13*$C13),0)</f>
        <v>0</v>
      </c>
      <c r="BC13" s="772">
        <f>IF(AND(MONTH((DATE(1899,12,31)+(0*7+IF($K13&gt;60,$K13-1,$K13))))=$BC$8,YEAR((DATE(1899,12,31)+(0*7+IF($K13&gt;60,$K13-1,$K13))))=$BC$5),($J13*$C13),0)</f>
        <v>0</v>
      </c>
      <c r="BD13" s="772">
        <f>IF(AND(MONTH((DATE(1899,12,31)+(0*7+IF($K13&gt;60,$K13-1,$K13))))=$BD$8,YEAR((DATE(1899,12,31)+(0*7+IF($K13&gt;60,$K13-1,$K13))))=$BD$5),($J13*$C13),0)</f>
        <v>0</v>
      </c>
      <c r="BE13" s="772">
        <f>IF(AND(MONTH((DATE(1899,12,31)+(0*7+IF($K13&gt;60,$K13-1,$K13))))=$BE$8,YEAR((DATE(1899,12,31)+(0*7+IF($K13&gt;60,$K13-1,$K13))))=$BE$5),($J13*$C13),0)</f>
        <v>0</v>
      </c>
      <c r="BF13" s="772">
        <f>IF(AND(MONTH((DATE(1899,12,31)+(0*7+IF($K13&gt;60,$K13-1,$K13))))=$BF$8,YEAR((DATE(1899,12,31)+(0*7+IF($K13&gt;60,$K13-1,$K13))))=$BF$5),($J13*$C13),0)</f>
        <v>0</v>
      </c>
      <c r="BG13" s="772">
        <f>IF(AND(MONTH((DATE(1899,12,31)+(0*7+IF($K13&gt;60,$K13-1,$K13))))=$BG$8,YEAR((DATE(1899,12,31)+(0*7+IF($K13&gt;60,$K13-1,$K13))))=$BG$5),($J13*$C13),0)</f>
        <v>0</v>
      </c>
      <c r="BH13" s="772">
        <f>IF(AND(MONTH((DATE(1899,12,31)+(0*7+IF($K13&gt;60,$K13-1,$K13))))=$BH$8,YEAR((DATE(1899,12,31)+(0*7+IF($K13&gt;60,$K13-1,$K13))))=$BH$5),($J13*$C13),0)</f>
        <v>0</v>
      </c>
      <c r="BI13" s="772">
        <f>IF(AND(MONTH((DATE(1899,12,31)+(0*7+IF($K13&gt;60,$K13-1,$K13))))=$BI$8,YEAR((DATE(1899,12,31)+(0*7+IF($K13&gt;60,$K13-1,$K13))))=$BI$5),($J13*$C13),0)</f>
        <v>0</v>
      </c>
      <c r="BJ13" s="772">
        <f>IF(AND(MONTH((DATE(1899,12,31)+(0*7+IF($K13&gt;60,$K13-1,$K13))))=$BJ$8,YEAR((DATE(1899,12,31)+(0*7+IF($K13&gt;60,$K13-1,$K13))))=$BJ$5),($J13*$C13),0)</f>
        <v>0</v>
      </c>
      <c r="BK13" s="772">
        <f>IF(AND(MONTH((DATE(1899,12,31)+(0*7+IF($K13&gt;60,$K13-1,$K13))))=$BK$8,YEAR((DATE(1899,12,31)+(0*7+IF($K13&gt;60,$K13-1,$K13))))=$BK$5),($J13*$C13),0)</f>
        <v>0</v>
      </c>
      <c r="BL13" s="772">
        <f>IF(AND(MONTH((DATE(1899,12,31)+(0*7+IF($K13&gt;60,$K13-1,$K13))))=$BL$8,YEAR((DATE(1899,12,31)+(0*7+IF($K13&gt;60,$K13-1,$K13))))=$BL$5),($J13*$C13),0)</f>
        <v>0</v>
      </c>
      <c r="BM13" s="772">
        <f>IF(AND(MONTH((DATE(1899,12,31)+(0*7+IF($K13&gt;60,$K13-1,$K13))))=$BM$8,YEAR((DATE(1899,12,31)+(0*7+IF($K13&gt;60,$K13-1,$K13))))=$BM$5),($J13*$C13),0)</f>
        <v>0</v>
      </c>
      <c r="BN13" s="772">
        <f>IF(AND(MONTH((DATE(1899,12,31)+(0*7+IF($K13&gt;60,$K13-1,$K13))))=$BN$8,YEAR((DATE(1899,12,31)+(0*7+IF($K13&gt;60,$K13-1,$K13))))=$BN$5),($J13*$C13),0)</f>
        <v>0</v>
      </c>
      <c r="BO13" s="772">
        <f>IF(AND(MONTH((DATE(1899,12,31)+(0*7+IF($K13&gt;60,$K13-1,$K13))))=$BO$8,YEAR((DATE(1899,12,31)+(0*7+IF($K13&gt;60,$K13-1,$K13))))=$BO$5),($J13*$C13),0)</f>
        <v>0</v>
      </c>
      <c r="BP13" s="772">
        <f>IF(AND(MONTH((DATE(1899,12,31)+(0*7+IF($K13&gt;60,$K13-1,$K13))))=$BP$8,YEAR((DATE(1899,12,31)+(0*7+IF($K13&gt;60,$K13-1,$K13))))=$BP$5),($J13*$C13),0)</f>
        <v>0</v>
      </c>
      <c r="BQ13" s="772">
        <f>IF(AND(MONTH((DATE(1899,12,31)+(0*7+IF($K13&gt;60,$K13-1,$K13))))=$BQ$8,YEAR((DATE(1899,12,31)+(0*7+IF($K13&gt;60,$K13-1,$K13))))=$BQ$5),($J13*$C13),0)</f>
        <v>0</v>
      </c>
      <c r="BR13" s="772">
        <f>IF(AND(MONTH((DATE(1899,12,31)+(0*7+IF($K13&gt;60,$K13-1,$K13))))=$BR$8,YEAR((DATE(1899,12,31)+(0*7+IF($K13&gt;60,$K13-1,$K13))))=$BR$5),($J13*$C13),0)</f>
        <v>0</v>
      </c>
      <c r="BS13" s="772">
        <f>IF(AND(MONTH((DATE(1899,12,31)+(0*7+IF($K13&gt;60,$K13-1,$K13))))=$BS$8,YEAR((DATE(1899,12,31)+(0*7+IF($K13&gt;60,$K13-1,$K13))))=$BS$5),($J13*$C13),0)</f>
        <v>0</v>
      </c>
      <c r="BT13" s="772">
        <f>IF(AND(MONTH((DATE(1899,12,31)+(0*7+IF($K13&gt;60,$K13-1,$K13))))=$BT$8,YEAR((DATE(1899,12,31)+(0*7+IF($K13&gt;60,$K13-1,$K13))))=$BT$5),($J13*$C13),0)</f>
        <v>0</v>
      </c>
      <c r="BU13" s="772">
        <f>IF(AND(MONTH((DATE(1899,12,31)+(0*7+IF($K13&gt;60,$K13-1,$K13))))=$BU$8,YEAR((DATE(1899,12,31)+(0*7+IF($K13&gt;60,$K13-1,$K13))))=$BU$5),($J13*$C13),0)</f>
        <v>0</v>
      </c>
      <c r="BV13" s="772">
        <f>IF(AND(MONTH((DATE(1899,12,31)+(0*7+IF($K13&gt;60,$K13-1,$K13))))=$BV$8,YEAR((DATE(1899,12,31)+(0*7+IF($K13&gt;60,$K13-1,$K13))))=$BV$5),($J13*$C13),0)</f>
        <v>0</v>
      </c>
      <c r="BW13" s="772">
        <f>IF(AND(MONTH((DATE(1899,12,31)+(0*7+IF($K13&gt;60,$K13-1,$K13))))=$BW$8,YEAR((DATE(1899,12,31)+(0*7+IF($K13&gt;60,$K13-1,$K13))))=$BW$5),($J13*$C13),0)</f>
        <v>0</v>
      </c>
      <c r="BX13" s="772">
        <f>IF(AND(MONTH((DATE(1899,12,31)+(0*7+IF($K13&gt;60,$K13-1,$K13))))=$BX$8,YEAR((DATE(1899,12,31)+(0*7+IF($K13&gt;60,$K13-1,$K13))))=$BX$5),($J13*$C13),0)</f>
        <v>0</v>
      </c>
      <c r="BY13" s="772">
        <f>IF(AND(MONTH((DATE(1899,12,31)+(0*7+IF($K13&gt;60,$K13-1,$K13))))=$BY$8,YEAR((DATE(1899,12,31)+(0*7+IF($K13&gt;60,$K13-1,$K13))))=$BY$5),($J13*$C13),0)</f>
        <v>0</v>
      </c>
      <c r="BZ13" s="772">
        <f>IF(AND(MONTH((DATE(1899,12,31)+(0*7+IF($K13&gt;60,$K13-1,$K13))))=$BZ$8,YEAR((DATE(1899,12,31)+(0*7+IF($K13&gt;60,$K13-1,$K13))))=$BZ$5),($J13*$C13),0)</f>
        <v>0</v>
      </c>
    </row>
    <row r="14" s="58" customFormat="1" ht="18" customHeight="1">
      <c r="B14" s="539"/>
      <c r="C14" s="539"/>
      <c r="D14" t="s" s="540">
        <f>LEFT(B14,1)</f>
      </c>
      <c r="E14" s="540">
        <f>IF(C14="",0,(IF(LEN(B14)=5,MID(B14,3,1),MID(B14,3,2))))</f>
        <v>0</v>
      </c>
      <c r="F14" s="540">
        <f>IF(AE14="H","House",IF(AE14="B","Bungalow",IF(AE14="F","Flat",IF(AE14="S","Shared",IF(AE14="T","Bedsit",IF(AE14="A","Wheelchair Flat",IF(AE14="W","Wheelchair",0)))))))</f>
        <v>0</v>
      </c>
      <c r="G14" s="539"/>
      <c r="H14" s="541"/>
      <c r="I14" s="773">
        <f>I13</f>
        <v>0.5</v>
      </c>
      <c r="J14" s="774">
        <f>H14*I14</f>
        <v>0</v>
      </c>
      <c r="K14" s="775"/>
      <c r="L14" s="770">
        <f>L13</f>
        <v>0.0275</v>
      </c>
      <c r="M14" s="678">
        <v>1</v>
      </c>
      <c r="N14" s="540">
        <f>ROUND((H14*L14*(M14-I14))/52,2)</f>
        <v>0</v>
      </c>
      <c r="O14" s="776">
        <f>N14*C14*52</f>
        <v>0</v>
      </c>
      <c r="P14" s="544">
        <f>J14*C14</f>
        <v>0</v>
      </c>
      <c r="AB14" s="759">
        <f>IF(C14=0,0,(C14*G14)/$G$21*$AB$21)</f>
        <v>0</v>
      </c>
      <c r="AC14" s="532">
        <f>AB14*I14</f>
        <v>0</v>
      </c>
      <c r="AD14" s="108"/>
      <c r="AE14" t="s" s="62">
        <f>RIGHT(B14,1)</f>
      </c>
      <c r="AF14" s="62">
        <v>4</v>
      </c>
      <c r="AG14" s="759">
        <f>AG13*(1+'Social Rent'!$AO$23)</f>
        <v>0</v>
      </c>
      <c r="AH14" s="759"/>
      <c r="AI14" s="599">
        <f>AG14*(1/((1+$AG$8)^(AF14-0.5)))</f>
        <v>0</v>
      </c>
      <c r="AL14" t="s" s="90">
        <v>766</v>
      </c>
      <c r="AQ14" s="772">
        <f>IF(AND(MONTH((DATE(1899,12,31)+(0*7+IF($K14&gt;60,$K14-1,$K14))))=$AQ$8,YEAR((DATE(1899,12,31)+(0*7+IF($K14&gt;60,$K14-1,$K14))))=$AQ$5),($J14*$C14),0)</f>
        <v>0</v>
      </c>
      <c r="AR14" s="772">
        <f>IF(AND(MONTH((DATE(1899,12,31)+(0*7+IF($K14&gt;60,$K14-1,$K14))))=$AR$8,YEAR((DATE(1899,12,31)+(0*7+IF($K14&gt;60,$K14-1,$K14))))=$AR$5),($J14*$C14),0)</f>
        <v>0</v>
      </c>
      <c r="AS14" s="772">
        <f>IF(AND(MONTH((DATE(1899,12,31)+(0*7+IF($K14&gt;60,$K14-1,$K14))))=$AS$8,YEAR((DATE(1899,12,31)+(0*7+IF($K14&gt;60,$K14-1,$K14))))=$AS$5),($J14*$C14),0)</f>
        <v>0</v>
      </c>
      <c r="AT14" s="772">
        <f>IF(AND(MONTH((DATE(1899,12,31)+(0*7+IF($K14&gt;60,$K14-1,$K14))))=$AT$8,YEAR((DATE(1899,12,31)+(0*7+IF($K14&gt;60,$K14-1,$K14))))=$AT$5),($J14*$C14),0)</f>
        <v>0</v>
      </c>
      <c r="AU14" s="772">
        <f>IF(AND(MONTH((DATE(1899,12,31)+(0*7+IF($K14&gt;60,$K14-1,$K14))))=$AU$8,YEAR((DATE(1899,12,31)+(0*7+IF($K14&gt;60,$K14-1,$K14))))=$AU$5),($J14*$C14),0)</f>
        <v>0</v>
      </c>
      <c r="AV14" s="772">
        <f>IF(AND(MONTH((DATE(1899,12,31)+(0*7+IF($K14&gt;60,$K14-1,$K14))))=$AV$8,YEAR((DATE(1899,12,31)+(0*7+IF($K14&gt;60,$K14-1,$K14))))=$AV$5),($J14*$C14),0)</f>
        <v>0</v>
      </c>
      <c r="AW14" s="772">
        <f>IF(AND(MONTH((DATE(1899,12,31)+(0*7+IF($K14&gt;60,$K14-1,$K14))))=$AW$8,YEAR((DATE(1899,12,31)+(0*7+IF($K14&gt;60,$K14-1,$K14))))=$AW$5),($J14*$C14),0)</f>
        <v>0</v>
      </c>
      <c r="AX14" s="772">
        <f>IF(AND(MONTH((DATE(1899,12,31)+(0*7+IF($K14&gt;60,$K14-1,$K14))))=$AX$8,YEAR((DATE(1899,12,31)+(0*7+IF($K14&gt;60,$K14-1,$K14))))=$AX$5),($J14*$C14),0)</f>
        <v>0</v>
      </c>
      <c r="AY14" s="772">
        <f>IF(AND(MONTH((DATE(1899,12,31)+(0*7+IF($K14&gt;60,$K14-1,$K14))))=$AY$8,YEAR((DATE(1899,12,31)+(0*7+IF($K14&gt;60,$K14-1,$K14))))=$AY$5),($J14*$C14),0)</f>
        <v>0</v>
      </c>
      <c r="AZ14" s="772">
        <f>IF(AND(MONTH((DATE(1899,12,31)+(0*7+IF($K14&gt;60,$K14-1,$K14))))=$AZ$8,YEAR((DATE(1899,12,31)+(0*7+IF($K14&gt;60,$K14-1,$K14))))=$AZ$5),($J14*$C14),0)</f>
        <v>0</v>
      </c>
      <c r="BA14" s="772">
        <f>IF(AND(MONTH((DATE(1899,12,31)+(0*7+IF($K14&gt;60,$K14-1,$K14))))=$BA$8,YEAR((DATE(1899,12,31)+(0*7+IF($K14&gt;60,$K14-1,$K14))))=$BA$5),($J14*$C14),0)</f>
        <v>0</v>
      </c>
      <c r="BB14" s="772">
        <f>IF(AND(MONTH((DATE(1899,12,31)+(0*7+IF($K14&gt;60,$K14-1,$K14))))=$BB$8,YEAR((DATE(1899,12,31)+(0*7+IF($K14&gt;60,$K14-1,$K14))))=$BB$5),($J14*$C14),0)</f>
        <v>0</v>
      </c>
      <c r="BC14" s="772">
        <f>IF(AND(MONTH((DATE(1899,12,31)+(0*7+IF($K14&gt;60,$K14-1,$K14))))=$BC$8,YEAR((DATE(1899,12,31)+(0*7+IF($K14&gt;60,$K14-1,$K14))))=$BC$5),($J14*$C14),0)</f>
        <v>0</v>
      </c>
      <c r="BD14" s="772">
        <f>IF(AND(MONTH((DATE(1899,12,31)+(0*7+IF($K14&gt;60,$K14-1,$K14))))=$BD$8,YEAR((DATE(1899,12,31)+(0*7+IF($K14&gt;60,$K14-1,$K14))))=$BD$5),($J14*$C14),0)</f>
        <v>0</v>
      </c>
      <c r="BE14" s="772">
        <f>IF(AND(MONTH((DATE(1899,12,31)+(0*7+IF($K14&gt;60,$K14-1,$K14))))=$BE$8,YEAR((DATE(1899,12,31)+(0*7+IF($K14&gt;60,$K14-1,$K14))))=$BE$5),($J14*$C14),0)</f>
        <v>0</v>
      </c>
      <c r="BF14" s="772">
        <f>IF(AND(MONTH((DATE(1899,12,31)+(0*7+IF($K14&gt;60,$K14-1,$K14))))=$BF$8,YEAR((DATE(1899,12,31)+(0*7+IF($K14&gt;60,$K14-1,$K14))))=$BF$5),($J14*$C14),0)</f>
        <v>0</v>
      </c>
      <c r="BG14" s="772">
        <f>IF(AND(MONTH((DATE(1899,12,31)+(0*7+IF($K14&gt;60,$K14-1,$K14))))=$BG$8,YEAR((DATE(1899,12,31)+(0*7+IF($K14&gt;60,$K14-1,$K14))))=$BG$5),($J14*$C14),0)</f>
        <v>0</v>
      </c>
      <c r="BH14" s="772">
        <f>IF(AND(MONTH((DATE(1899,12,31)+(0*7+IF($K14&gt;60,$K14-1,$K14))))=$BH$8,YEAR((DATE(1899,12,31)+(0*7+IF($K14&gt;60,$K14-1,$K14))))=$BH$5),($J14*$C14),0)</f>
        <v>0</v>
      </c>
      <c r="BI14" s="772">
        <f>IF(AND(MONTH((DATE(1899,12,31)+(0*7+IF($K14&gt;60,$K14-1,$K14))))=$BI$8,YEAR((DATE(1899,12,31)+(0*7+IF($K14&gt;60,$K14-1,$K14))))=$BI$5),($J14*$C14),0)</f>
        <v>0</v>
      </c>
      <c r="BJ14" s="772">
        <f>IF(AND(MONTH((DATE(1899,12,31)+(0*7+IF($K14&gt;60,$K14-1,$K14))))=$BJ$8,YEAR((DATE(1899,12,31)+(0*7+IF($K14&gt;60,$K14-1,$K14))))=$BJ$5),($J14*$C14),0)</f>
        <v>0</v>
      </c>
      <c r="BK14" s="772">
        <f>IF(AND(MONTH((DATE(1899,12,31)+(0*7+IF($K14&gt;60,$K14-1,$K14))))=$BK$8,YEAR((DATE(1899,12,31)+(0*7+IF($K14&gt;60,$K14-1,$K14))))=$BK$5),($J14*$C14),0)</f>
        <v>0</v>
      </c>
      <c r="BL14" s="772">
        <f>IF(AND(MONTH((DATE(1899,12,31)+(0*7+IF($K14&gt;60,$K14-1,$K14))))=$BL$8,YEAR((DATE(1899,12,31)+(0*7+IF($K14&gt;60,$K14-1,$K14))))=$BL$5),($J14*$C14),0)</f>
        <v>0</v>
      </c>
      <c r="BM14" s="772">
        <f>IF(AND(MONTH((DATE(1899,12,31)+(0*7+IF($K14&gt;60,$K14-1,$K14))))=$BM$8,YEAR((DATE(1899,12,31)+(0*7+IF($K14&gt;60,$K14-1,$K14))))=$BM$5),($J14*$C14),0)</f>
        <v>0</v>
      </c>
      <c r="BN14" s="772">
        <f>IF(AND(MONTH((DATE(1899,12,31)+(0*7+IF($K14&gt;60,$K14-1,$K14))))=$BN$8,YEAR((DATE(1899,12,31)+(0*7+IF($K14&gt;60,$K14-1,$K14))))=$BN$5),($J14*$C14),0)</f>
        <v>0</v>
      </c>
      <c r="BO14" s="772">
        <f>IF(AND(MONTH((DATE(1899,12,31)+(0*7+IF($K14&gt;60,$K14-1,$K14))))=$BO$8,YEAR((DATE(1899,12,31)+(0*7+IF($K14&gt;60,$K14-1,$K14))))=$BO$5),($J14*$C14),0)</f>
        <v>0</v>
      </c>
      <c r="BP14" s="772">
        <f>IF(AND(MONTH((DATE(1899,12,31)+(0*7+IF($K14&gt;60,$K14-1,$K14))))=$BP$8,YEAR((DATE(1899,12,31)+(0*7+IF($K14&gt;60,$K14-1,$K14))))=$BP$5),($J14*$C14),0)</f>
        <v>0</v>
      </c>
      <c r="BQ14" s="772">
        <f>IF(AND(MONTH((DATE(1899,12,31)+(0*7+IF($K14&gt;60,$K14-1,$K14))))=$BQ$8,YEAR((DATE(1899,12,31)+(0*7+IF($K14&gt;60,$K14-1,$K14))))=$BQ$5),($J14*$C14),0)</f>
        <v>0</v>
      </c>
      <c r="BR14" s="772">
        <f>IF(AND(MONTH((DATE(1899,12,31)+(0*7+IF($K14&gt;60,$K14-1,$K14))))=$BR$8,YEAR((DATE(1899,12,31)+(0*7+IF($K14&gt;60,$K14-1,$K14))))=$BR$5),($J14*$C14),0)</f>
        <v>0</v>
      </c>
      <c r="BS14" s="772">
        <f>IF(AND(MONTH((DATE(1899,12,31)+(0*7+IF($K14&gt;60,$K14-1,$K14))))=$BS$8,YEAR((DATE(1899,12,31)+(0*7+IF($K14&gt;60,$K14-1,$K14))))=$BS$5),($J14*$C14),0)</f>
        <v>0</v>
      </c>
      <c r="BT14" s="772">
        <f>IF(AND(MONTH((DATE(1899,12,31)+(0*7+IF($K14&gt;60,$K14-1,$K14))))=$BT$8,YEAR((DATE(1899,12,31)+(0*7+IF($K14&gt;60,$K14-1,$K14))))=$BT$5),($J14*$C14),0)</f>
        <v>0</v>
      </c>
      <c r="BU14" s="772">
        <f>IF(AND(MONTH((DATE(1899,12,31)+(0*7+IF($K14&gt;60,$K14-1,$K14))))=$BU$8,YEAR((DATE(1899,12,31)+(0*7+IF($K14&gt;60,$K14-1,$K14))))=$BU$5),($J14*$C14),0)</f>
        <v>0</v>
      </c>
      <c r="BV14" s="772">
        <f>IF(AND(MONTH((DATE(1899,12,31)+(0*7+IF($K14&gt;60,$K14-1,$K14))))=$BV$8,YEAR((DATE(1899,12,31)+(0*7+IF($K14&gt;60,$K14-1,$K14))))=$BV$5),($J14*$C14),0)</f>
        <v>0</v>
      </c>
      <c r="BW14" s="772">
        <f>IF(AND(MONTH((DATE(1899,12,31)+(0*7+IF($K14&gt;60,$K14-1,$K14))))=$BW$8,YEAR((DATE(1899,12,31)+(0*7+IF($K14&gt;60,$K14-1,$K14))))=$BW$5),($J14*$C14),0)</f>
        <v>0</v>
      </c>
      <c r="BX14" s="772">
        <f>IF(AND(MONTH((DATE(1899,12,31)+(0*7+IF($K14&gt;60,$K14-1,$K14))))=$BX$8,YEAR((DATE(1899,12,31)+(0*7+IF($K14&gt;60,$K14-1,$K14))))=$BX$5),($J14*$C14),0)</f>
        <v>0</v>
      </c>
      <c r="BY14" s="772">
        <f>IF(AND(MONTH((DATE(1899,12,31)+(0*7+IF($K14&gt;60,$K14-1,$K14))))=$BY$8,YEAR((DATE(1899,12,31)+(0*7+IF($K14&gt;60,$K14-1,$K14))))=$BY$5),($J14*$C14),0)</f>
        <v>0</v>
      </c>
      <c r="BZ14" s="772">
        <f>IF(AND(MONTH((DATE(1899,12,31)+(0*7+IF($K14&gt;60,$K14-1,$K14))))=$BZ$8,YEAR((DATE(1899,12,31)+(0*7+IF($K14&gt;60,$K14-1,$K14))))=$BZ$5),($J14*$C14),0)</f>
        <v>0</v>
      </c>
    </row>
    <row r="15" s="58" customFormat="1" ht="18" customHeight="1">
      <c r="B15" s="539"/>
      <c r="C15" s="539"/>
      <c r="D15" t="s" s="540">
        <f>LEFT(B15,1)</f>
      </c>
      <c r="E15" s="540">
        <f>IF(C15="",0,(IF(LEN(B15)=5,MID(B15,3,1),MID(B15,3,2))))</f>
        <v>0</v>
      </c>
      <c r="F15" s="540">
        <f>IF(AE15="H","House",IF(AE15="B","Bungalow",IF(AE15="F","Flat",IF(AE15="S","Shared",IF(AE15="T","Bedsit",IF(AE15="A","Wheelchair Flat",IF(AE15="W","Wheelchair",0)))))))</f>
        <v>0</v>
      </c>
      <c r="G15" s="539"/>
      <c r="H15" s="541"/>
      <c r="I15" s="773">
        <f>I14</f>
        <v>0.5</v>
      </c>
      <c r="J15" s="774">
        <f>H15*I15</f>
        <v>0</v>
      </c>
      <c r="K15" s="775"/>
      <c r="L15" s="770">
        <f>L14</f>
        <v>0.0275</v>
      </c>
      <c r="M15" s="678">
        <v>1</v>
      </c>
      <c r="N15" s="540">
        <f>ROUND((H15*L15*(M15-I15))/52,2)</f>
        <v>0</v>
      </c>
      <c r="O15" s="776">
        <f>N15*C15*52</f>
        <v>0</v>
      </c>
      <c r="P15" s="544">
        <f>J15*C15</f>
        <v>0</v>
      </c>
      <c r="AB15" s="759">
        <f>IF(C15=0,0,(C15*G15)/$G$21*$AB$21)</f>
        <v>0</v>
      </c>
      <c r="AC15" s="532">
        <f>AB15*I15</f>
        <v>0</v>
      </c>
      <c r="AD15" s="108"/>
      <c r="AE15" t="s" s="62">
        <f>RIGHT(B15,1)</f>
      </c>
      <c r="AF15" s="62">
        <v>5</v>
      </c>
      <c r="AG15" s="759">
        <f>AG14*(1+'Social Rent'!$AO$23)</f>
        <v>0</v>
      </c>
      <c r="AH15" s="759"/>
      <c r="AI15" s="599">
        <f>AG15*(1/((1+$AG$8)^(AF15-0.5)))</f>
        <v>0</v>
      </c>
      <c r="AL15" t="s" s="90">
        <v>767</v>
      </c>
      <c r="AQ15" s="772">
        <f>IF(AND(MONTH((DATE(1899,12,31)+(0*7+IF($K15&gt;60,$K15-1,$K15))))=$AQ$8,YEAR((DATE(1899,12,31)+(0*7+IF($K15&gt;60,$K15-1,$K15))))=$AQ$5),($J15*$C15),0)</f>
        <v>0</v>
      </c>
      <c r="AR15" s="772">
        <f>IF(AND(MONTH((DATE(1899,12,31)+(0*7+IF($K15&gt;60,$K15-1,$K15))))=$AR$8,YEAR((DATE(1899,12,31)+(0*7+IF($K15&gt;60,$K15-1,$K15))))=$AR$5),($J15*$C15),0)</f>
        <v>0</v>
      </c>
      <c r="AS15" s="772">
        <f>IF(AND(MONTH((DATE(1899,12,31)+(0*7+IF($K15&gt;60,$K15-1,$K15))))=$AS$8,YEAR((DATE(1899,12,31)+(0*7+IF($K15&gt;60,$K15-1,$K15))))=$AS$5),($J15*$C15),0)</f>
        <v>0</v>
      </c>
      <c r="AT15" s="772">
        <f>IF(AND(MONTH((DATE(1899,12,31)+(0*7+IF($K15&gt;60,$K15-1,$K15))))=$AT$8,YEAR((DATE(1899,12,31)+(0*7+IF($K15&gt;60,$K15-1,$K15))))=$AT$5),($J15*$C15),0)</f>
        <v>0</v>
      </c>
      <c r="AU15" s="772">
        <f>IF(AND(MONTH((DATE(1899,12,31)+(0*7+IF($K15&gt;60,$K15-1,$K15))))=$AU$8,YEAR((DATE(1899,12,31)+(0*7+IF($K15&gt;60,$K15-1,$K15))))=$AU$5),($J15*$C15),0)</f>
        <v>0</v>
      </c>
      <c r="AV15" s="772">
        <f>IF(AND(MONTH((DATE(1899,12,31)+(0*7+IF($K15&gt;60,$K15-1,$K15))))=$AV$8,YEAR((DATE(1899,12,31)+(0*7+IF($K15&gt;60,$K15-1,$K15))))=$AV$5),($J15*$C15),0)</f>
        <v>0</v>
      </c>
      <c r="AW15" s="772">
        <f>IF(AND(MONTH((DATE(1899,12,31)+(0*7+IF($K15&gt;60,$K15-1,$K15))))=$AW$8,YEAR((DATE(1899,12,31)+(0*7+IF($K15&gt;60,$K15-1,$K15))))=$AW$5),($J15*$C15),0)</f>
        <v>0</v>
      </c>
      <c r="AX15" s="772">
        <f>IF(AND(MONTH((DATE(1899,12,31)+(0*7+IF($K15&gt;60,$K15-1,$K15))))=$AX$8,YEAR((DATE(1899,12,31)+(0*7+IF($K15&gt;60,$K15-1,$K15))))=$AX$5),($J15*$C15),0)</f>
        <v>0</v>
      </c>
      <c r="AY15" s="772">
        <f>IF(AND(MONTH((DATE(1899,12,31)+(0*7+IF($K15&gt;60,$K15-1,$K15))))=$AY$8,YEAR((DATE(1899,12,31)+(0*7+IF($K15&gt;60,$K15-1,$K15))))=$AY$5),($J15*$C15),0)</f>
        <v>0</v>
      </c>
      <c r="AZ15" s="772">
        <f>IF(AND(MONTH((DATE(1899,12,31)+(0*7+IF($K15&gt;60,$K15-1,$K15))))=$AZ$8,YEAR((DATE(1899,12,31)+(0*7+IF($K15&gt;60,$K15-1,$K15))))=$AZ$5),($J15*$C15),0)</f>
        <v>0</v>
      </c>
      <c r="BA15" s="772">
        <f>IF(AND(MONTH((DATE(1899,12,31)+(0*7+IF($K15&gt;60,$K15-1,$K15))))=$BA$8,YEAR((DATE(1899,12,31)+(0*7+IF($K15&gt;60,$K15-1,$K15))))=$BA$5),($J15*$C15),0)</f>
        <v>0</v>
      </c>
      <c r="BB15" s="772">
        <f>IF(AND(MONTH((DATE(1899,12,31)+(0*7+IF($K15&gt;60,$K15-1,$K15))))=$BB$8,YEAR((DATE(1899,12,31)+(0*7+IF($K15&gt;60,$K15-1,$K15))))=$BB$5),($J15*$C15),0)</f>
        <v>0</v>
      </c>
      <c r="BC15" s="772">
        <f>IF(AND(MONTH((DATE(1899,12,31)+(0*7+IF($K15&gt;60,$K15-1,$K15))))=$BC$8,YEAR((DATE(1899,12,31)+(0*7+IF($K15&gt;60,$K15-1,$K15))))=$BC$5),($J15*$C15),0)</f>
        <v>0</v>
      </c>
      <c r="BD15" s="772">
        <f>IF(AND(MONTH((DATE(1899,12,31)+(0*7+IF($K15&gt;60,$K15-1,$K15))))=$BD$8,YEAR((DATE(1899,12,31)+(0*7+IF($K15&gt;60,$K15-1,$K15))))=$BD$5),($J15*$C15),0)</f>
        <v>0</v>
      </c>
      <c r="BE15" s="772">
        <f>IF(AND(MONTH((DATE(1899,12,31)+(0*7+IF($K15&gt;60,$K15-1,$K15))))=$BE$8,YEAR((DATE(1899,12,31)+(0*7+IF($K15&gt;60,$K15-1,$K15))))=$BE$5),($J15*$C15),0)</f>
        <v>0</v>
      </c>
      <c r="BF15" s="772">
        <f>IF(AND(MONTH((DATE(1899,12,31)+(0*7+IF($K15&gt;60,$K15-1,$K15))))=$BF$8,YEAR((DATE(1899,12,31)+(0*7+IF($K15&gt;60,$K15-1,$K15))))=$BF$5),($J15*$C15),0)</f>
        <v>0</v>
      </c>
      <c r="BG15" s="772">
        <f>IF(AND(MONTH((DATE(1899,12,31)+(0*7+IF($K15&gt;60,$K15-1,$K15))))=$BG$8,YEAR((DATE(1899,12,31)+(0*7+IF($K15&gt;60,$K15-1,$K15))))=$BG$5),($J15*$C15),0)</f>
        <v>0</v>
      </c>
      <c r="BH15" s="772">
        <f>IF(AND(MONTH((DATE(1899,12,31)+(0*7+IF($K15&gt;60,$K15-1,$K15))))=$BH$8,YEAR((DATE(1899,12,31)+(0*7+IF($K15&gt;60,$K15-1,$K15))))=$BH$5),($J15*$C15),0)</f>
        <v>0</v>
      </c>
      <c r="BI15" s="772">
        <f>IF(AND(MONTH((DATE(1899,12,31)+(0*7+IF($K15&gt;60,$K15-1,$K15))))=$BI$8,YEAR((DATE(1899,12,31)+(0*7+IF($K15&gt;60,$K15-1,$K15))))=$BI$5),($J15*$C15),0)</f>
        <v>0</v>
      </c>
      <c r="BJ15" s="772">
        <f>IF(AND(MONTH((DATE(1899,12,31)+(0*7+IF($K15&gt;60,$K15-1,$K15))))=$BJ$8,YEAR((DATE(1899,12,31)+(0*7+IF($K15&gt;60,$K15-1,$K15))))=$BJ$5),($J15*$C15),0)</f>
        <v>0</v>
      </c>
      <c r="BK15" s="772">
        <f>IF(AND(MONTH((DATE(1899,12,31)+(0*7+IF($K15&gt;60,$K15-1,$K15))))=$BK$8,YEAR((DATE(1899,12,31)+(0*7+IF($K15&gt;60,$K15-1,$K15))))=$BK$5),($J15*$C15),0)</f>
        <v>0</v>
      </c>
      <c r="BL15" s="772">
        <f>IF(AND(MONTH((DATE(1899,12,31)+(0*7+IF($K15&gt;60,$K15-1,$K15))))=$BL$8,YEAR((DATE(1899,12,31)+(0*7+IF($K15&gt;60,$K15-1,$K15))))=$BL$5),($J15*$C15),0)</f>
        <v>0</v>
      </c>
      <c r="BM15" s="772">
        <f>IF(AND(MONTH((DATE(1899,12,31)+(0*7+IF($K15&gt;60,$K15-1,$K15))))=$BM$8,YEAR((DATE(1899,12,31)+(0*7+IF($K15&gt;60,$K15-1,$K15))))=$BM$5),($J15*$C15),0)</f>
        <v>0</v>
      </c>
      <c r="BN15" s="772">
        <f>IF(AND(MONTH((DATE(1899,12,31)+(0*7+IF($K15&gt;60,$K15-1,$K15))))=$BN$8,YEAR((DATE(1899,12,31)+(0*7+IF($K15&gt;60,$K15-1,$K15))))=$BN$5),($J15*$C15),0)</f>
        <v>0</v>
      </c>
      <c r="BO15" s="772">
        <f>IF(AND(MONTH((DATE(1899,12,31)+(0*7+IF($K15&gt;60,$K15-1,$K15))))=$BO$8,YEAR((DATE(1899,12,31)+(0*7+IF($K15&gt;60,$K15-1,$K15))))=$BO$5),($J15*$C15),0)</f>
        <v>0</v>
      </c>
      <c r="BP15" s="772">
        <f>IF(AND(MONTH((DATE(1899,12,31)+(0*7+IF($K15&gt;60,$K15-1,$K15))))=$BP$8,YEAR((DATE(1899,12,31)+(0*7+IF($K15&gt;60,$K15-1,$K15))))=$BP$5),($J15*$C15),0)</f>
        <v>0</v>
      </c>
      <c r="BQ15" s="772">
        <f>IF(AND(MONTH((DATE(1899,12,31)+(0*7+IF($K15&gt;60,$K15-1,$K15))))=$BQ$8,YEAR((DATE(1899,12,31)+(0*7+IF($K15&gt;60,$K15-1,$K15))))=$BQ$5),($J15*$C15),0)</f>
        <v>0</v>
      </c>
      <c r="BR15" s="772">
        <f>IF(AND(MONTH((DATE(1899,12,31)+(0*7+IF($K15&gt;60,$K15-1,$K15))))=$BR$8,YEAR((DATE(1899,12,31)+(0*7+IF($K15&gt;60,$K15-1,$K15))))=$BR$5),($J15*$C15),0)</f>
        <v>0</v>
      </c>
      <c r="BS15" s="772">
        <f>IF(AND(MONTH((DATE(1899,12,31)+(0*7+IF($K15&gt;60,$K15-1,$K15))))=$BS$8,YEAR((DATE(1899,12,31)+(0*7+IF($K15&gt;60,$K15-1,$K15))))=$BS$5),($J15*$C15),0)</f>
        <v>0</v>
      </c>
      <c r="BT15" s="772">
        <f>IF(AND(MONTH((DATE(1899,12,31)+(0*7+IF($K15&gt;60,$K15-1,$K15))))=$BT$8,YEAR((DATE(1899,12,31)+(0*7+IF($K15&gt;60,$K15-1,$K15))))=$BT$5),($J15*$C15),0)</f>
        <v>0</v>
      </c>
      <c r="BU15" s="772">
        <f>IF(AND(MONTH((DATE(1899,12,31)+(0*7+IF($K15&gt;60,$K15-1,$K15))))=$BU$8,YEAR((DATE(1899,12,31)+(0*7+IF($K15&gt;60,$K15-1,$K15))))=$BU$5),($J15*$C15),0)</f>
        <v>0</v>
      </c>
      <c r="BV15" s="772">
        <f>IF(AND(MONTH((DATE(1899,12,31)+(0*7+IF($K15&gt;60,$K15-1,$K15))))=$BV$8,YEAR((DATE(1899,12,31)+(0*7+IF($K15&gt;60,$K15-1,$K15))))=$BV$5),($J15*$C15),0)</f>
        <v>0</v>
      </c>
      <c r="BW15" s="772">
        <f>IF(AND(MONTH((DATE(1899,12,31)+(0*7+IF($K15&gt;60,$K15-1,$K15))))=$BW$8,YEAR((DATE(1899,12,31)+(0*7+IF($K15&gt;60,$K15-1,$K15))))=$BW$5),($J15*$C15),0)</f>
        <v>0</v>
      </c>
      <c r="BX15" s="772">
        <f>IF(AND(MONTH((DATE(1899,12,31)+(0*7+IF($K15&gt;60,$K15-1,$K15))))=$BX$8,YEAR((DATE(1899,12,31)+(0*7+IF($K15&gt;60,$K15-1,$K15))))=$BX$5),($J15*$C15),0)</f>
        <v>0</v>
      </c>
      <c r="BY15" s="772">
        <f>IF(AND(MONTH((DATE(1899,12,31)+(0*7+IF($K15&gt;60,$K15-1,$K15))))=$BY$8,YEAR((DATE(1899,12,31)+(0*7+IF($K15&gt;60,$K15-1,$K15))))=$BY$5),($J15*$C15),0)</f>
        <v>0</v>
      </c>
      <c r="BZ15" s="772">
        <f>IF(AND(MONTH((DATE(1899,12,31)+(0*7+IF($K15&gt;60,$K15-1,$K15))))=$BZ$8,YEAR((DATE(1899,12,31)+(0*7+IF($K15&gt;60,$K15-1,$K15))))=$BZ$5),($J15*$C15),0)</f>
        <v>0</v>
      </c>
    </row>
    <row r="16" s="58" customFormat="1" ht="18" customHeight="1">
      <c r="B16" s="539"/>
      <c r="C16" s="539"/>
      <c r="D16" t="s" s="540">
        <f>LEFT(B16,1)</f>
      </c>
      <c r="E16" s="540">
        <f>IF(C16="",0,(IF(LEN(B16)=5,MID(B16,3,1),MID(B16,3,2))))</f>
        <v>0</v>
      </c>
      <c r="F16" s="540">
        <f>IF(AE16="H","House",IF(AE16="B","Bungalow",IF(AE16="F","Flat",IF(AE16="S","Shared",IF(AE16="T","Bedsit",IF(AE16="A","Wheelchair Flat",IF(AE16="W","Wheelchair",0)))))))</f>
        <v>0</v>
      </c>
      <c r="G16" s="539"/>
      <c r="H16" s="541"/>
      <c r="I16" s="773">
        <f>I15</f>
        <v>0.5</v>
      </c>
      <c r="J16" s="774">
        <f>H16*I16</f>
        <v>0</v>
      </c>
      <c r="K16" s="775"/>
      <c r="L16" s="770">
        <f>L15</f>
        <v>0.0275</v>
      </c>
      <c r="M16" s="678">
        <v>1</v>
      </c>
      <c r="N16" s="540">
        <f>ROUND((H16*L16*(M16-I16))/52,2)</f>
        <v>0</v>
      </c>
      <c r="O16" s="776">
        <f>N16*C16*52</f>
        <v>0</v>
      </c>
      <c r="P16" s="544">
        <f>J16*C16</f>
        <v>0</v>
      </c>
      <c r="AB16" s="759">
        <f>IF(C16=0,0,(C16*G16)/$G$21*$AB$21)</f>
        <v>0</v>
      </c>
      <c r="AC16" s="532">
        <f>AB16*I16</f>
        <v>0</v>
      </c>
      <c r="AD16" s="108"/>
      <c r="AE16" t="s" s="62">
        <f>RIGHT(B16,1)</f>
      </c>
      <c r="AF16" s="62">
        <v>6</v>
      </c>
      <c r="AG16" s="759">
        <f>AG15*(1+'Social Rent'!$AO$23)</f>
        <v>0</v>
      </c>
      <c r="AH16" s="759"/>
      <c r="AI16" s="599">
        <f>(AG16+AH16)*(1/((1+$AG$8)^(AF16-0.5)))</f>
        <v>0</v>
      </c>
      <c r="AL16" t="s" s="90">
        <v>769</v>
      </c>
      <c r="AQ16" s="772">
        <f>IF(AND(MONTH((DATE(1899,12,31)+(0*7+IF($K16&gt;60,$K16-1,$K16))))=$AQ$8,YEAR((DATE(1899,12,31)+(0*7+IF($K16&gt;60,$K16-1,$K16))))=$AQ$5),($J16*$C16),0)</f>
        <v>0</v>
      </c>
      <c r="AR16" s="772">
        <f>IF(AND(MONTH((DATE(1899,12,31)+(0*7+IF($K16&gt;60,$K16-1,$K16))))=$AR$8,YEAR((DATE(1899,12,31)+(0*7+IF($K16&gt;60,$K16-1,$K16))))=$AR$5),($J16*$C16),0)</f>
        <v>0</v>
      </c>
      <c r="AS16" s="772">
        <f>IF(AND(MONTH((DATE(1899,12,31)+(0*7+IF($K16&gt;60,$K16-1,$K16))))=$AS$8,YEAR((DATE(1899,12,31)+(0*7+IF($K16&gt;60,$K16-1,$K16))))=$AS$5),($J16*$C16),0)</f>
        <v>0</v>
      </c>
      <c r="AT16" s="772">
        <f>IF(AND(MONTH((DATE(1899,12,31)+(0*7+IF($K16&gt;60,$K16-1,$K16))))=$AT$8,YEAR((DATE(1899,12,31)+(0*7+IF($K16&gt;60,$K16-1,$K16))))=$AT$5),($J16*$C16),0)</f>
        <v>0</v>
      </c>
      <c r="AU16" s="772">
        <f>IF(AND(MONTH((DATE(1899,12,31)+(0*7+IF($K16&gt;60,$K16-1,$K16))))=$AU$8,YEAR((DATE(1899,12,31)+(0*7+IF($K16&gt;60,$K16-1,$K16))))=$AU$5),($J16*$C16),0)</f>
        <v>0</v>
      </c>
      <c r="AV16" s="772">
        <f>IF(AND(MONTH((DATE(1899,12,31)+(0*7+IF($K16&gt;60,$K16-1,$K16))))=$AV$8,YEAR((DATE(1899,12,31)+(0*7+IF($K16&gt;60,$K16-1,$K16))))=$AV$5),($J16*$C16),0)</f>
        <v>0</v>
      </c>
      <c r="AW16" s="772">
        <f>IF(AND(MONTH((DATE(1899,12,31)+(0*7+IF($K16&gt;60,$K16-1,$K16))))=$AW$8,YEAR((DATE(1899,12,31)+(0*7+IF($K16&gt;60,$K16-1,$K16))))=$AW$5),($J16*$C16),0)</f>
        <v>0</v>
      </c>
      <c r="AX16" s="772">
        <f>IF(AND(MONTH((DATE(1899,12,31)+(0*7+IF($K16&gt;60,$K16-1,$K16))))=$AX$8,YEAR((DATE(1899,12,31)+(0*7+IF($K16&gt;60,$K16-1,$K16))))=$AX$5),($J16*$C16),0)</f>
        <v>0</v>
      </c>
      <c r="AY16" s="772">
        <f>IF(AND(MONTH((DATE(1899,12,31)+(0*7+IF($K16&gt;60,$K16-1,$K16))))=$AY$8,YEAR((DATE(1899,12,31)+(0*7+IF($K16&gt;60,$K16-1,$K16))))=$AY$5),($J16*$C16),0)</f>
        <v>0</v>
      </c>
      <c r="AZ16" s="772">
        <f>IF(AND(MONTH((DATE(1899,12,31)+(0*7+IF($K16&gt;60,$K16-1,$K16))))=$AZ$8,YEAR((DATE(1899,12,31)+(0*7+IF($K16&gt;60,$K16-1,$K16))))=$AZ$5),($J16*$C16),0)</f>
        <v>0</v>
      </c>
      <c r="BA16" s="772">
        <f>IF(AND(MONTH((DATE(1899,12,31)+(0*7+IF($K16&gt;60,$K16-1,$K16))))=$BA$8,YEAR((DATE(1899,12,31)+(0*7+IF($K16&gt;60,$K16-1,$K16))))=$BA$5),($J16*$C16),0)</f>
        <v>0</v>
      </c>
      <c r="BB16" s="772">
        <f>IF(AND(MONTH((DATE(1899,12,31)+(0*7+IF($K16&gt;60,$K16-1,$K16))))=$BB$8,YEAR((DATE(1899,12,31)+(0*7+IF($K16&gt;60,$K16-1,$K16))))=$BB$5),($J16*$C16),0)</f>
        <v>0</v>
      </c>
      <c r="BC16" s="772">
        <f>IF(AND(MONTH((DATE(1899,12,31)+(0*7+IF($K16&gt;60,$K16-1,$K16))))=$BC$8,YEAR((DATE(1899,12,31)+(0*7+IF($K16&gt;60,$K16-1,$K16))))=$BC$5),($J16*$C16),0)</f>
        <v>0</v>
      </c>
      <c r="BD16" s="772">
        <f>IF(AND(MONTH((DATE(1899,12,31)+(0*7+IF($K16&gt;60,$K16-1,$K16))))=$BD$8,YEAR((DATE(1899,12,31)+(0*7+IF($K16&gt;60,$K16-1,$K16))))=$BD$5),($J16*$C16),0)</f>
        <v>0</v>
      </c>
      <c r="BE16" s="772">
        <f>IF(AND(MONTH((DATE(1899,12,31)+(0*7+IF($K16&gt;60,$K16-1,$K16))))=$BE$8,YEAR((DATE(1899,12,31)+(0*7+IF($K16&gt;60,$K16-1,$K16))))=$BE$5),($J16*$C16),0)</f>
        <v>0</v>
      </c>
      <c r="BF16" s="772">
        <f>IF(AND(MONTH((DATE(1899,12,31)+(0*7+IF($K16&gt;60,$K16-1,$K16))))=$BF$8,YEAR((DATE(1899,12,31)+(0*7+IF($K16&gt;60,$K16-1,$K16))))=$BF$5),($J16*$C16),0)</f>
        <v>0</v>
      </c>
      <c r="BG16" s="772">
        <f>IF(AND(MONTH((DATE(1899,12,31)+(0*7+IF($K16&gt;60,$K16-1,$K16))))=$BG$8,YEAR((DATE(1899,12,31)+(0*7+IF($K16&gt;60,$K16-1,$K16))))=$BG$5),($J16*$C16),0)</f>
        <v>0</v>
      </c>
      <c r="BH16" s="772">
        <f>IF(AND(MONTH((DATE(1899,12,31)+(0*7+IF($K16&gt;60,$K16-1,$K16))))=$BH$8,YEAR((DATE(1899,12,31)+(0*7+IF($K16&gt;60,$K16-1,$K16))))=$BH$5),($J16*$C16),0)</f>
        <v>0</v>
      </c>
      <c r="BI16" s="772">
        <f>IF(AND(MONTH((DATE(1899,12,31)+(0*7+IF($K16&gt;60,$K16-1,$K16))))=$BI$8,YEAR((DATE(1899,12,31)+(0*7+IF($K16&gt;60,$K16-1,$K16))))=$BI$5),($J16*$C16),0)</f>
        <v>0</v>
      </c>
      <c r="BJ16" s="772">
        <f>IF(AND(MONTH((DATE(1899,12,31)+(0*7+IF($K16&gt;60,$K16-1,$K16))))=$BJ$8,YEAR((DATE(1899,12,31)+(0*7+IF($K16&gt;60,$K16-1,$K16))))=$BJ$5),($J16*$C16),0)</f>
        <v>0</v>
      </c>
      <c r="BK16" s="772">
        <f>IF(AND(MONTH((DATE(1899,12,31)+(0*7+IF($K16&gt;60,$K16-1,$K16))))=$BK$8,YEAR((DATE(1899,12,31)+(0*7+IF($K16&gt;60,$K16-1,$K16))))=$BK$5),($J16*$C16),0)</f>
        <v>0</v>
      </c>
      <c r="BL16" s="772">
        <f>IF(AND(MONTH((DATE(1899,12,31)+(0*7+IF($K16&gt;60,$K16-1,$K16))))=$BL$8,YEAR((DATE(1899,12,31)+(0*7+IF($K16&gt;60,$K16-1,$K16))))=$BL$5),($J16*$C16),0)</f>
        <v>0</v>
      </c>
      <c r="BM16" s="772">
        <f>IF(AND(MONTH((DATE(1899,12,31)+(0*7+IF($K16&gt;60,$K16-1,$K16))))=$BM$8,YEAR((DATE(1899,12,31)+(0*7+IF($K16&gt;60,$K16-1,$K16))))=$BM$5),($J16*$C16),0)</f>
        <v>0</v>
      </c>
      <c r="BN16" s="772">
        <f>IF(AND(MONTH((DATE(1899,12,31)+(0*7+IF($K16&gt;60,$K16-1,$K16))))=$BN$8,YEAR((DATE(1899,12,31)+(0*7+IF($K16&gt;60,$K16-1,$K16))))=$BN$5),($J16*$C16),0)</f>
        <v>0</v>
      </c>
      <c r="BO16" s="772">
        <f>IF(AND(MONTH((DATE(1899,12,31)+(0*7+IF($K16&gt;60,$K16-1,$K16))))=$BO$8,YEAR((DATE(1899,12,31)+(0*7+IF($K16&gt;60,$K16-1,$K16))))=$BO$5),($J16*$C16),0)</f>
        <v>0</v>
      </c>
      <c r="BP16" s="772">
        <f>IF(AND(MONTH((DATE(1899,12,31)+(0*7+IF($K16&gt;60,$K16-1,$K16))))=$BP$8,YEAR((DATE(1899,12,31)+(0*7+IF($K16&gt;60,$K16-1,$K16))))=$BP$5),($J16*$C16),0)</f>
        <v>0</v>
      </c>
      <c r="BQ16" s="772">
        <f>IF(AND(MONTH((DATE(1899,12,31)+(0*7+IF($K16&gt;60,$K16-1,$K16))))=$BQ$8,YEAR((DATE(1899,12,31)+(0*7+IF($K16&gt;60,$K16-1,$K16))))=$BQ$5),($J16*$C16),0)</f>
        <v>0</v>
      </c>
      <c r="BR16" s="772">
        <f>IF(AND(MONTH((DATE(1899,12,31)+(0*7+IF($K16&gt;60,$K16-1,$K16))))=$BR$8,YEAR((DATE(1899,12,31)+(0*7+IF($K16&gt;60,$K16-1,$K16))))=$BR$5),($J16*$C16),0)</f>
        <v>0</v>
      </c>
      <c r="BS16" s="772">
        <f>IF(AND(MONTH((DATE(1899,12,31)+(0*7+IF($K16&gt;60,$K16-1,$K16))))=$BS$8,YEAR((DATE(1899,12,31)+(0*7+IF($K16&gt;60,$K16-1,$K16))))=$BS$5),($J16*$C16),0)</f>
        <v>0</v>
      </c>
      <c r="BT16" s="772">
        <f>IF(AND(MONTH((DATE(1899,12,31)+(0*7+IF($K16&gt;60,$K16-1,$K16))))=$BT$8,YEAR((DATE(1899,12,31)+(0*7+IF($K16&gt;60,$K16-1,$K16))))=$BT$5),($J16*$C16),0)</f>
        <v>0</v>
      </c>
      <c r="BU16" s="772">
        <f>IF(AND(MONTH((DATE(1899,12,31)+(0*7+IF($K16&gt;60,$K16-1,$K16))))=$BU$8,YEAR((DATE(1899,12,31)+(0*7+IF($K16&gt;60,$K16-1,$K16))))=$BU$5),($J16*$C16),0)</f>
        <v>0</v>
      </c>
      <c r="BV16" s="772">
        <f>IF(AND(MONTH((DATE(1899,12,31)+(0*7+IF($K16&gt;60,$K16-1,$K16))))=$BV$8,YEAR((DATE(1899,12,31)+(0*7+IF($K16&gt;60,$K16-1,$K16))))=$BV$5),($J16*$C16),0)</f>
        <v>0</v>
      </c>
      <c r="BW16" s="772">
        <f>IF(AND(MONTH((DATE(1899,12,31)+(0*7+IF($K16&gt;60,$K16-1,$K16))))=$BW$8,YEAR((DATE(1899,12,31)+(0*7+IF($K16&gt;60,$K16-1,$K16))))=$BW$5),($J16*$C16),0)</f>
        <v>0</v>
      </c>
      <c r="BX16" s="772">
        <f>IF(AND(MONTH((DATE(1899,12,31)+(0*7+IF($K16&gt;60,$K16-1,$K16))))=$BX$8,YEAR((DATE(1899,12,31)+(0*7+IF($K16&gt;60,$K16-1,$K16))))=$BX$5),($J16*$C16),0)</f>
        <v>0</v>
      </c>
      <c r="BY16" s="772">
        <f>IF(AND(MONTH((DATE(1899,12,31)+(0*7+IF($K16&gt;60,$K16-1,$K16))))=$BY$8,YEAR((DATE(1899,12,31)+(0*7+IF($K16&gt;60,$K16-1,$K16))))=$BY$5),($J16*$C16),0)</f>
        <v>0</v>
      </c>
      <c r="BZ16" s="772">
        <f>IF(AND(MONTH((DATE(1899,12,31)+(0*7+IF($K16&gt;60,$K16-1,$K16))))=$BZ$8,YEAR((DATE(1899,12,31)+(0*7+IF($K16&gt;60,$K16-1,$K16))))=$BZ$5),($J16*$C16),0)</f>
        <v>0</v>
      </c>
    </row>
    <row r="17" s="58" customFormat="1" ht="18" customHeight="1">
      <c r="B17" s="539"/>
      <c r="C17" s="539"/>
      <c r="D17" t="s" s="540">
        <f>LEFT(B17,1)</f>
      </c>
      <c r="E17" s="540">
        <f>IF(C17="",0,(IF(LEN(B17)=5,MID(B17,3,1),MID(B17,3,2))))</f>
        <v>0</v>
      </c>
      <c r="F17" s="540">
        <f>IF(AE17="H","House",IF(AE17="B","Bungalow",IF(AE17="F","Flat",IF(AE17="S","Shared",IF(AE17="T","Bedsit",IF(AE17="A","Wheelchair Flat",IF(AE17="W","Wheelchair",0)))))))</f>
        <v>0</v>
      </c>
      <c r="G17" s="539"/>
      <c r="H17" s="541"/>
      <c r="I17" s="773">
        <f>I16</f>
        <v>0.5</v>
      </c>
      <c r="J17" s="774">
        <f>H17*I17</f>
        <v>0</v>
      </c>
      <c r="K17" s="775"/>
      <c r="L17" s="770">
        <f>L16</f>
        <v>0.0275</v>
      </c>
      <c r="M17" s="678">
        <v>1</v>
      </c>
      <c r="N17" s="540">
        <f>ROUND((H17*L17*(M17-I17))/52,2)</f>
        <v>0</v>
      </c>
      <c r="O17" s="776">
        <f>N17*C17*52</f>
        <v>0</v>
      </c>
      <c r="P17" s="544">
        <f>J17*C17</f>
        <v>0</v>
      </c>
      <c r="AB17" s="759">
        <f>IF(C17=0,0,(C17*G17)/$G$21*$AB$21)</f>
        <v>0</v>
      </c>
      <c r="AC17" s="532">
        <f>AB17*I17</f>
        <v>0</v>
      </c>
      <c r="AD17" s="108"/>
      <c r="AE17" t="s" s="62">
        <f>RIGHT(B17,1)</f>
      </c>
      <c r="AF17" s="62">
        <v>7</v>
      </c>
      <c r="AG17" s="759">
        <f>AG16*(1+'Social Rent'!$AO$23)</f>
        <v>0</v>
      </c>
      <c r="AH17" s="759"/>
      <c r="AI17" s="599">
        <f>(AG17+AH17)*(1/((1+$AG$8)^(AF17-0.5)))</f>
        <v>0</v>
      </c>
      <c r="AL17" t="s" s="90">
        <v>772</v>
      </c>
      <c r="AQ17" s="772">
        <f>IF(AND(MONTH((DATE(1899,12,31)+(0*7+IF($K17&gt;60,$K17-1,$K17))))=$AQ$8,YEAR((DATE(1899,12,31)+(0*7+IF($K17&gt;60,$K17-1,$K17))))=$AQ$5),($J17*$C17),0)</f>
        <v>0</v>
      </c>
      <c r="AR17" s="772">
        <f>IF(AND(MONTH((DATE(1899,12,31)+(0*7+IF($K17&gt;60,$K17-1,$K17))))=$AR$8,YEAR((DATE(1899,12,31)+(0*7+IF($K17&gt;60,$K17-1,$K17))))=$AR$5),($J17*$C17),0)</f>
        <v>0</v>
      </c>
      <c r="AS17" s="772">
        <f>IF(AND(MONTH((DATE(1899,12,31)+(0*7+IF($K17&gt;60,$K17-1,$K17))))=$AS$8,YEAR((DATE(1899,12,31)+(0*7+IF($K17&gt;60,$K17-1,$K17))))=$AS$5),($J17*$C17),0)</f>
        <v>0</v>
      </c>
      <c r="AT17" s="772">
        <f>IF(AND(MONTH((DATE(1899,12,31)+(0*7+IF($K17&gt;60,$K17-1,$K17))))=$AT$8,YEAR((DATE(1899,12,31)+(0*7+IF($K17&gt;60,$K17-1,$K17))))=$AT$5),($J17*$C17),0)</f>
        <v>0</v>
      </c>
      <c r="AU17" s="772">
        <f>IF(AND(MONTH((DATE(1899,12,31)+(0*7+IF($K17&gt;60,$K17-1,$K17))))=$AU$8,YEAR((DATE(1899,12,31)+(0*7+IF($K17&gt;60,$K17-1,$K17))))=$AU$5),($J17*$C17),0)</f>
        <v>0</v>
      </c>
      <c r="AV17" s="772">
        <f>IF(AND(MONTH((DATE(1899,12,31)+(0*7+IF($K17&gt;60,$K17-1,$K17))))=$AV$8,YEAR((DATE(1899,12,31)+(0*7+IF($K17&gt;60,$K17-1,$K17))))=$AV$5),($J17*$C17),0)</f>
        <v>0</v>
      </c>
      <c r="AW17" s="772">
        <f>IF(AND(MONTH((DATE(1899,12,31)+(0*7+IF($K17&gt;60,$K17-1,$K17))))=$AW$8,YEAR((DATE(1899,12,31)+(0*7+IF($K17&gt;60,$K17-1,$K17))))=$AW$5),($J17*$C17),0)</f>
        <v>0</v>
      </c>
      <c r="AX17" s="772">
        <f>IF(AND(MONTH((DATE(1899,12,31)+(0*7+IF($K17&gt;60,$K17-1,$K17))))=$AX$8,YEAR((DATE(1899,12,31)+(0*7+IF($K17&gt;60,$K17-1,$K17))))=$AX$5),($J17*$C17),0)</f>
        <v>0</v>
      </c>
      <c r="AY17" s="772">
        <f>IF(AND(MONTH((DATE(1899,12,31)+(0*7+IF($K17&gt;60,$K17-1,$K17))))=$AY$8,YEAR((DATE(1899,12,31)+(0*7+IF($K17&gt;60,$K17-1,$K17))))=$AY$5),($J17*$C17),0)</f>
        <v>0</v>
      </c>
      <c r="AZ17" s="772">
        <f>IF(AND(MONTH((DATE(1899,12,31)+(0*7+IF($K17&gt;60,$K17-1,$K17))))=$AZ$8,YEAR((DATE(1899,12,31)+(0*7+IF($K17&gt;60,$K17-1,$K17))))=$AZ$5),($J17*$C17),0)</f>
        <v>0</v>
      </c>
      <c r="BA17" s="772">
        <f>IF(AND(MONTH((DATE(1899,12,31)+(0*7+IF($K17&gt;60,$K17-1,$K17))))=$BA$8,YEAR((DATE(1899,12,31)+(0*7+IF($K17&gt;60,$K17-1,$K17))))=$BA$5),($J17*$C17),0)</f>
        <v>0</v>
      </c>
      <c r="BB17" s="772">
        <f>IF(AND(MONTH((DATE(1899,12,31)+(0*7+IF($K17&gt;60,$K17-1,$K17))))=$BB$8,YEAR((DATE(1899,12,31)+(0*7+IF($K17&gt;60,$K17-1,$K17))))=$BB$5),($J17*$C17),0)</f>
        <v>0</v>
      </c>
      <c r="BC17" s="772">
        <f>IF(AND(MONTH((DATE(1899,12,31)+(0*7+IF($K17&gt;60,$K17-1,$K17))))=$BC$8,YEAR((DATE(1899,12,31)+(0*7+IF($K17&gt;60,$K17-1,$K17))))=$BC$5),($J17*$C17),0)</f>
        <v>0</v>
      </c>
      <c r="BD17" s="772">
        <f>IF(AND(MONTH((DATE(1899,12,31)+(0*7+IF($K17&gt;60,$K17-1,$K17))))=$BD$8,YEAR((DATE(1899,12,31)+(0*7+IF($K17&gt;60,$K17-1,$K17))))=$BD$5),($J17*$C17),0)</f>
        <v>0</v>
      </c>
      <c r="BE17" s="772">
        <f>IF(AND(MONTH((DATE(1899,12,31)+(0*7+IF($K17&gt;60,$K17-1,$K17))))=$BE$8,YEAR((DATE(1899,12,31)+(0*7+IF($K17&gt;60,$K17-1,$K17))))=$BE$5),($J17*$C17),0)</f>
        <v>0</v>
      </c>
      <c r="BF17" s="772">
        <f>IF(AND(MONTH((DATE(1899,12,31)+(0*7+IF($K17&gt;60,$K17-1,$K17))))=$BF$8,YEAR((DATE(1899,12,31)+(0*7+IF($K17&gt;60,$K17-1,$K17))))=$BF$5),($J17*$C17),0)</f>
        <v>0</v>
      </c>
      <c r="BG17" s="772">
        <f>IF(AND(MONTH((DATE(1899,12,31)+(0*7+IF($K17&gt;60,$K17-1,$K17))))=$BG$8,YEAR((DATE(1899,12,31)+(0*7+IF($K17&gt;60,$K17-1,$K17))))=$BG$5),($J17*$C17),0)</f>
        <v>0</v>
      </c>
      <c r="BH17" s="772">
        <f>IF(AND(MONTH((DATE(1899,12,31)+(0*7+IF($K17&gt;60,$K17-1,$K17))))=$BH$8,YEAR((DATE(1899,12,31)+(0*7+IF($K17&gt;60,$K17-1,$K17))))=$BH$5),($J17*$C17),0)</f>
        <v>0</v>
      </c>
      <c r="BI17" s="772">
        <f>IF(AND(MONTH((DATE(1899,12,31)+(0*7+IF($K17&gt;60,$K17-1,$K17))))=$BI$8,YEAR((DATE(1899,12,31)+(0*7+IF($K17&gt;60,$K17-1,$K17))))=$BI$5),($J17*$C17),0)</f>
        <v>0</v>
      </c>
      <c r="BJ17" s="772">
        <f>IF(AND(MONTH((DATE(1899,12,31)+(0*7+IF($K17&gt;60,$K17-1,$K17))))=$BJ$8,YEAR((DATE(1899,12,31)+(0*7+IF($K17&gt;60,$K17-1,$K17))))=$BJ$5),($J17*$C17),0)</f>
        <v>0</v>
      </c>
      <c r="BK17" s="772">
        <f>IF(AND(MONTH((DATE(1899,12,31)+(0*7+IF($K17&gt;60,$K17-1,$K17))))=$BK$8,YEAR((DATE(1899,12,31)+(0*7+IF($K17&gt;60,$K17-1,$K17))))=$BK$5),($J17*$C17),0)</f>
        <v>0</v>
      </c>
      <c r="BL17" s="772">
        <f>IF(AND(MONTH((DATE(1899,12,31)+(0*7+IF($K17&gt;60,$K17-1,$K17))))=$BL$8,YEAR((DATE(1899,12,31)+(0*7+IF($K17&gt;60,$K17-1,$K17))))=$BL$5),($J17*$C17),0)</f>
        <v>0</v>
      </c>
      <c r="BM17" s="772">
        <f>IF(AND(MONTH((DATE(1899,12,31)+(0*7+IF($K17&gt;60,$K17-1,$K17))))=$BM$8,YEAR((DATE(1899,12,31)+(0*7+IF($K17&gt;60,$K17-1,$K17))))=$BM$5),($J17*$C17),0)</f>
        <v>0</v>
      </c>
      <c r="BN17" s="772">
        <f>IF(AND(MONTH((DATE(1899,12,31)+(0*7+IF($K17&gt;60,$K17-1,$K17))))=$BN$8,YEAR((DATE(1899,12,31)+(0*7+IF($K17&gt;60,$K17-1,$K17))))=$BN$5),($J17*$C17),0)</f>
        <v>0</v>
      </c>
      <c r="BO17" s="772">
        <f>IF(AND(MONTH((DATE(1899,12,31)+(0*7+IF($K17&gt;60,$K17-1,$K17))))=$BO$8,YEAR((DATE(1899,12,31)+(0*7+IF($K17&gt;60,$K17-1,$K17))))=$BO$5),($J17*$C17),0)</f>
        <v>0</v>
      </c>
      <c r="BP17" s="772">
        <f>IF(AND(MONTH((DATE(1899,12,31)+(0*7+IF($K17&gt;60,$K17-1,$K17))))=$BP$8,YEAR((DATE(1899,12,31)+(0*7+IF($K17&gt;60,$K17-1,$K17))))=$BP$5),($J17*$C17),0)</f>
        <v>0</v>
      </c>
      <c r="BQ17" s="772">
        <f>IF(AND(MONTH((DATE(1899,12,31)+(0*7+IF($K17&gt;60,$K17-1,$K17))))=$BQ$8,YEAR((DATE(1899,12,31)+(0*7+IF($K17&gt;60,$K17-1,$K17))))=$BQ$5),($J17*$C17),0)</f>
        <v>0</v>
      </c>
      <c r="BR17" s="772">
        <f>IF(AND(MONTH((DATE(1899,12,31)+(0*7+IF($K17&gt;60,$K17-1,$K17))))=$BR$8,YEAR((DATE(1899,12,31)+(0*7+IF($K17&gt;60,$K17-1,$K17))))=$BR$5),($J17*$C17),0)</f>
        <v>0</v>
      </c>
      <c r="BS17" s="772">
        <f>IF(AND(MONTH((DATE(1899,12,31)+(0*7+IF($K17&gt;60,$K17-1,$K17))))=$BS$8,YEAR((DATE(1899,12,31)+(0*7+IF($K17&gt;60,$K17-1,$K17))))=$BS$5),($J17*$C17),0)</f>
        <v>0</v>
      </c>
      <c r="BT17" s="772">
        <f>IF(AND(MONTH((DATE(1899,12,31)+(0*7+IF($K17&gt;60,$K17-1,$K17))))=$BT$8,YEAR((DATE(1899,12,31)+(0*7+IF($K17&gt;60,$K17-1,$K17))))=$BT$5),($J17*$C17),0)</f>
        <v>0</v>
      </c>
      <c r="BU17" s="772">
        <f>IF(AND(MONTH((DATE(1899,12,31)+(0*7+IF($K17&gt;60,$K17-1,$K17))))=$BU$8,YEAR((DATE(1899,12,31)+(0*7+IF($K17&gt;60,$K17-1,$K17))))=$BU$5),($J17*$C17),0)</f>
        <v>0</v>
      </c>
      <c r="BV17" s="772">
        <f>IF(AND(MONTH((DATE(1899,12,31)+(0*7+IF($K17&gt;60,$K17-1,$K17))))=$BV$8,YEAR((DATE(1899,12,31)+(0*7+IF($K17&gt;60,$K17-1,$K17))))=$BV$5),($J17*$C17),0)</f>
        <v>0</v>
      </c>
      <c r="BW17" s="772">
        <f>IF(AND(MONTH((DATE(1899,12,31)+(0*7+IF($K17&gt;60,$K17-1,$K17))))=$BW$8,YEAR((DATE(1899,12,31)+(0*7+IF($K17&gt;60,$K17-1,$K17))))=$BW$5),($J17*$C17),0)</f>
        <v>0</v>
      </c>
      <c r="BX17" s="772">
        <f>IF(AND(MONTH((DATE(1899,12,31)+(0*7+IF($K17&gt;60,$K17-1,$K17))))=$BX$8,YEAR((DATE(1899,12,31)+(0*7+IF($K17&gt;60,$K17-1,$K17))))=$BX$5),($J17*$C17),0)</f>
        <v>0</v>
      </c>
      <c r="BY17" s="772">
        <f>IF(AND(MONTH((DATE(1899,12,31)+(0*7+IF($K17&gt;60,$K17-1,$K17))))=$BY$8,YEAR((DATE(1899,12,31)+(0*7+IF($K17&gt;60,$K17-1,$K17))))=$BY$5),($J17*$C17),0)</f>
        <v>0</v>
      </c>
      <c r="BZ17" s="772">
        <f>IF(AND(MONTH((DATE(1899,12,31)+(0*7+IF($K17&gt;60,$K17-1,$K17))))=$BZ$8,YEAR((DATE(1899,12,31)+(0*7+IF($K17&gt;60,$K17-1,$K17))))=$BZ$5),($J17*$C17),0)</f>
        <v>0</v>
      </c>
    </row>
    <row r="18" s="58" customFormat="1" ht="18" customHeight="1">
      <c r="B18" s="539"/>
      <c r="C18" s="539"/>
      <c r="D18" t="s" s="540">
        <f>LEFT(B18,1)</f>
      </c>
      <c r="E18" s="540">
        <f>IF(C18="",0,(IF(LEN(B18)=5,MID(B18,3,1),MID(B18,3,2))))</f>
        <v>0</v>
      </c>
      <c r="F18" s="540">
        <f>IF(AE18="H","House",IF(AE18="B","Bungalow",IF(AE18="F","Flat",IF(AE18="S","Shared",IF(AE18="T","Bedsit",IF(AE18="A","Wheelchair Flat",IF(AE18="W","Wheelchair",0)))))))</f>
        <v>0</v>
      </c>
      <c r="G18" s="539"/>
      <c r="H18" s="541"/>
      <c r="I18" s="773">
        <f>I17</f>
        <v>0.5</v>
      </c>
      <c r="J18" s="774">
        <f>H18*I18</f>
        <v>0</v>
      </c>
      <c r="K18" s="775"/>
      <c r="L18" s="770">
        <f>L17</f>
        <v>0.0275</v>
      </c>
      <c r="M18" s="678">
        <v>1</v>
      </c>
      <c r="N18" s="540">
        <f>ROUND((H18*L18*(M18-I18))/52,2)</f>
        <v>0</v>
      </c>
      <c r="O18" s="776">
        <f>N18*C18*52</f>
        <v>0</v>
      </c>
      <c r="P18" s="544">
        <f>J18*C18</f>
        <v>0</v>
      </c>
      <c r="AB18" s="759">
        <f>IF(C18=0,0,(C18*G18)/$G$21*$AB$21)</f>
        <v>0</v>
      </c>
      <c r="AC18" s="532">
        <f>AB18*I18</f>
        <v>0</v>
      </c>
      <c r="AD18" s="108"/>
      <c r="AE18" t="s" s="62">
        <f>RIGHT(B18,1)</f>
      </c>
      <c r="AF18" s="62">
        <v>8</v>
      </c>
      <c r="AG18" s="759">
        <f>AG17*(1+'Social Rent'!$AO$23)</f>
        <v>0</v>
      </c>
      <c r="AH18" s="759"/>
      <c r="AI18" s="599">
        <f>(AG18+AH18)*(1/((1+$AG$8)^(AF18-0.5)))</f>
        <v>0</v>
      </c>
      <c r="AL18" t="s" s="90">
        <v>775</v>
      </c>
      <c r="AQ18" s="772">
        <f>IF(AND(MONTH((DATE(1899,12,31)+(0*7+IF($K18&gt;60,$K18-1,$K18))))=$AQ$8,YEAR((DATE(1899,12,31)+(0*7+IF($K18&gt;60,$K18-1,$K18))))=$AQ$5),($J18*$C18),0)</f>
        <v>0</v>
      </c>
      <c r="AR18" s="772">
        <f>IF(AND(MONTH((DATE(1899,12,31)+(0*7+IF($K18&gt;60,$K18-1,$K18))))=$AR$8,YEAR((DATE(1899,12,31)+(0*7+IF($K18&gt;60,$K18-1,$K18))))=$AR$5),($J18*$C18),0)</f>
        <v>0</v>
      </c>
      <c r="AS18" s="772">
        <f>IF(AND(MONTH((DATE(1899,12,31)+(0*7+IF($K18&gt;60,$K18-1,$K18))))=$AS$8,YEAR((DATE(1899,12,31)+(0*7+IF($K18&gt;60,$K18-1,$K18))))=$AS$5),($J18*$C18),0)</f>
        <v>0</v>
      </c>
      <c r="AT18" s="772">
        <f>IF(AND(MONTH((DATE(1899,12,31)+(0*7+IF($K18&gt;60,$K18-1,$K18))))=$AT$8,YEAR((DATE(1899,12,31)+(0*7+IF($K18&gt;60,$K18-1,$K18))))=$AT$5),($J18*$C18),0)</f>
        <v>0</v>
      </c>
      <c r="AU18" s="772">
        <f>IF(AND(MONTH((DATE(1899,12,31)+(0*7+IF($K18&gt;60,$K18-1,$K18))))=$AU$8,YEAR((DATE(1899,12,31)+(0*7+IF($K18&gt;60,$K18-1,$K18))))=$AU$5),($J18*$C18),0)</f>
        <v>0</v>
      </c>
      <c r="AV18" s="772">
        <f>IF(AND(MONTH((DATE(1899,12,31)+(0*7+IF($K18&gt;60,$K18-1,$K18))))=$AV$8,YEAR((DATE(1899,12,31)+(0*7+IF($K18&gt;60,$K18-1,$K18))))=$AV$5),($J18*$C18),0)</f>
        <v>0</v>
      </c>
      <c r="AW18" s="772">
        <f>IF(AND(MONTH((DATE(1899,12,31)+(0*7+IF($K18&gt;60,$K18-1,$K18))))=$AW$8,YEAR((DATE(1899,12,31)+(0*7+IF($K18&gt;60,$K18-1,$K18))))=$AW$5),($J18*$C18),0)</f>
        <v>0</v>
      </c>
      <c r="AX18" s="772">
        <f>IF(AND(MONTH((DATE(1899,12,31)+(0*7+IF($K18&gt;60,$K18-1,$K18))))=$AX$8,YEAR((DATE(1899,12,31)+(0*7+IF($K18&gt;60,$K18-1,$K18))))=$AX$5),($J18*$C18),0)</f>
        <v>0</v>
      </c>
      <c r="AY18" s="772">
        <f>IF(AND(MONTH((DATE(1899,12,31)+(0*7+IF($K18&gt;60,$K18-1,$K18))))=$AY$8,YEAR((DATE(1899,12,31)+(0*7+IF($K18&gt;60,$K18-1,$K18))))=$AY$5),($J18*$C18),0)</f>
        <v>0</v>
      </c>
      <c r="AZ18" s="772">
        <f>IF(AND(MONTH((DATE(1899,12,31)+(0*7+IF($K18&gt;60,$K18-1,$K18))))=$AZ$8,YEAR((DATE(1899,12,31)+(0*7+IF($K18&gt;60,$K18-1,$K18))))=$AZ$5),($J18*$C18),0)</f>
        <v>0</v>
      </c>
      <c r="BA18" s="772">
        <f>IF(AND(MONTH((DATE(1899,12,31)+(0*7+IF($K18&gt;60,$K18-1,$K18))))=$BA$8,YEAR((DATE(1899,12,31)+(0*7+IF($K18&gt;60,$K18-1,$K18))))=$BA$5),($J18*$C18),0)</f>
        <v>0</v>
      </c>
      <c r="BB18" s="772">
        <f>IF(AND(MONTH((DATE(1899,12,31)+(0*7+IF($K18&gt;60,$K18-1,$K18))))=$BB$8,YEAR((DATE(1899,12,31)+(0*7+IF($K18&gt;60,$K18-1,$K18))))=$BB$5),($J18*$C18),0)</f>
        <v>0</v>
      </c>
      <c r="BC18" s="772">
        <f>IF(AND(MONTH((DATE(1899,12,31)+(0*7+IF($K18&gt;60,$K18-1,$K18))))=$BC$8,YEAR((DATE(1899,12,31)+(0*7+IF($K18&gt;60,$K18-1,$K18))))=$BC$5),($J18*$C18),0)</f>
        <v>0</v>
      </c>
      <c r="BD18" s="772">
        <f>IF(AND(MONTH((DATE(1899,12,31)+(0*7+IF($K18&gt;60,$K18-1,$K18))))=$BD$8,YEAR((DATE(1899,12,31)+(0*7+IF($K18&gt;60,$K18-1,$K18))))=$BD$5),($J18*$C18),0)</f>
        <v>0</v>
      </c>
      <c r="BE18" s="772">
        <f>IF(AND(MONTH((DATE(1899,12,31)+(0*7+IF($K18&gt;60,$K18-1,$K18))))=$BE$8,YEAR((DATE(1899,12,31)+(0*7+IF($K18&gt;60,$K18-1,$K18))))=$BE$5),($J18*$C18),0)</f>
        <v>0</v>
      </c>
      <c r="BF18" s="772">
        <f>IF(AND(MONTH((DATE(1899,12,31)+(0*7+IF($K18&gt;60,$K18-1,$K18))))=$BF$8,YEAR((DATE(1899,12,31)+(0*7+IF($K18&gt;60,$K18-1,$K18))))=$BF$5),($J18*$C18),0)</f>
        <v>0</v>
      </c>
      <c r="BG18" s="772">
        <f>IF(AND(MONTH((DATE(1899,12,31)+(0*7+IF($K18&gt;60,$K18-1,$K18))))=$BG$8,YEAR((DATE(1899,12,31)+(0*7+IF($K18&gt;60,$K18-1,$K18))))=$BG$5),($J18*$C18),0)</f>
        <v>0</v>
      </c>
      <c r="BH18" s="772">
        <f>IF(AND(MONTH((DATE(1899,12,31)+(0*7+IF($K18&gt;60,$K18-1,$K18))))=$BH$8,YEAR((DATE(1899,12,31)+(0*7+IF($K18&gt;60,$K18-1,$K18))))=$BH$5),($J18*$C18),0)</f>
        <v>0</v>
      </c>
      <c r="BI18" s="772">
        <f>IF(AND(MONTH((DATE(1899,12,31)+(0*7+IF($K18&gt;60,$K18-1,$K18))))=$BI$8,YEAR((DATE(1899,12,31)+(0*7+IF($K18&gt;60,$K18-1,$K18))))=$BI$5),($J18*$C18),0)</f>
        <v>0</v>
      </c>
      <c r="BJ18" s="772">
        <f>IF(AND(MONTH((DATE(1899,12,31)+(0*7+IF($K18&gt;60,$K18-1,$K18))))=$BJ$8,YEAR((DATE(1899,12,31)+(0*7+IF($K18&gt;60,$K18-1,$K18))))=$BJ$5),($J18*$C18),0)</f>
        <v>0</v>
      </c>
      <c r="BK18" s="772">
        <f>IF(AND(MONTH((DATE(1899,12,31)+(0*7+IF($K18&gt;60,$K18-1,$K18))))=$BK$8,YEAR((DATE(1899,12,31)+(0*7+IF($K18&gt;60,$K18-1,$K18))))=$BK$5),($J18*$C18),0)</f>
        <v>0</v>
      </c>
      <c r="BL18" s="772">
        <f>IF(AND(MONTH((DATE(1899,12,31)+(0*7+IF($K18&gt;60,$K18-1,$K18))))=$BL$8,YEAR((DATE(1899,12,31)+(0*7+IF($K18&gt;60,$K18-1,$K18))))=$BL$5),($J18*$C18),0)</f>
        <v>0</v>
      </c>
      <c r="BM18" s="772">
        <f>IF(AND(MONTH((DATE(1899,12,31)+(0*7+IF($K18&gt;60,$K18-1,$K18))))=$BM$8,YEAR((DATE(1899,12,31)+(0*7+IF($K18&gt;60,$K18-1,$K18))))=$BM$5),($J18*$C18),0)</f>
        <v>0</v>
      </c>
      <c r="BN18" s="772">
        <f>IF(AND(MONTH((DATE(1899,12,31)+(0*7+IF($K18&gt;60,$K18-1,$K18))))=$BN$8,YEAR((DATE(1899,12,31)+(0*7+IF($K18&gt;60,$K18-1,$K18))))=$BN$5),($J18*$C18),0)</f>
        <v>0</v>
      </c>
      <c r="BO18" s="772">
        <f>IF(AND(MONTH((DATE(1899,12,31)+(0*7+IF($K18&gt;60,$K18-1,$K18))))=$BO$8,YEAR((DATE(1899,12,31)+(0*7+IF($K18&gt;60,$K18-1,$K18))))=$BO$5),($J18*$C18),0)</f>
        <v>0</v>
      </c>
      <c r="BP18" s="772">
        <f>IF(AND(MONTH((DATE(1899,12,31)+(0*7+IF($K18&gt;60,$K18-1,$K18))))=$BP$8,YEAR((DATE(1899,12,31)+(0*7+IF($K18&gt;60,$K18-1,$K18))))=$BP$5),($J18*$C18),0)</f>
        <v>0</v>
      </c>
      <c r="BQ18" s="772">
        <f>IF(AND(MONTH((DATE(1899,12,31)+(0*7+IF($K18&gt;60,$K18-1,$K18))))=$BQ$8,YEAR((DATE(1899,12,31)+(0*7+IF($K18&gt;60,$K18-1,$K18))))=$BQ$5),($J18*$C18),0)</f>
        <v>0</v>
      </c>
      <c r="BR18" s="772">
        <f>IF(AND(MONTH((DATE(1899,12,31)+(0*7+IF($K18&gt;60,$K18-1,$K18))))=$BR$8,YEAR((DATE(1899,12,31)+(0*7+IF($K18&gt;60,$K18-1,$K18))))=$BR$5),($J18*$C18),0)</f>
        <v>0</v>
      </c>
      <c r="BS18" s="772">
        <f>IF(AND(MONTH((DATE(1899,12,31)+(0*7+IF($K18&gt;60,$K18-1,$K18))))=$BS$8,YEAR((DATE(1899,12,31)+(0*7+IF($K18&gt;60,$K18-1,$K18))))=$BS$5),($J18*$C18),0)</f>
        <v>0</v>
      </c>
      <c r="BT18" s="772">
        <f>IF(AND(MONTH((DATE(1899,12,31)+(0*7+IF($K18&gt;60,$K18-1,$K18))))=$BT$8,YEAR((DATE(1899,12,31)+(0*7+IF($K18&gt;60,$K18-1,$K18))))=$BT$5),($J18*$C18),0)</f>
        <v>0</v>
      </c>
      <c r="BU18" s="772">
        <f>IF(AND(MONTH((DATE(1899,12,31)+(0*7+IF($K18&gt;60,$K18-1,$K18))))=$BU$8,YEAR((DATE(1899,12,31)+(0*7+IF($K18&gt;60,$K18-1,$K18))))=$BU$5),($J18*$C18),0)</f>
        <v>0</v>
      </c>
      <c r="BV18" s="772">
        <f>IF(AND(MONTH((DATE(1899,12,31)+(0*7+IF($K18&gt;60,$K18-1,$K18))))=$BV$8,YEAR((DATE(1899,12,31)+(0*7+IF($K18&gt;60,$K18-1,$K18))))=$BV$5),($J18*$C18),0)</f>
        <v>0</v>
      </c>
      <c r="BW18" s="772">
        <f>IF(AND(MONTH((DATE(1899,12,31)+(0*7+IF($K18&gt;60,$K18-1,$K18))))=$BW$8,YEAR((DATE(1899,12,31)+(0*7+IF($K18&gt;60,$K18-1,$K18))))=$BW$5),($J18*$C18),0)</f>
        <v>0</v>
      </c>
      <c r="BX18" s="772">
        <f>IF(AND(MONTH((DATE(1899,12,31)+(0*7+IF($K18&gt;60,$K18-1,$K18))))=$BX$8,YEAR((DATE(1899,12,31)+(0*7+IF($K18&gt;60,$K18-1,$K18))))=$BX$5),($J18*$C18),0)</f>
        <v>0</v>
      </c>
      <c r="BY18" s="772">
        <f>IF(AND(MONTH((DATE(1899,12,31)+(0*7+IF($K18&gt;60,$K18-1,$K18))))=$BY$8,YEAR((DATE(1899,12,31)+(0*7+IF($K18&gt;60,$K18-1,$K18))))=$BY$5),($J18*$C18),0)</f>
        <v>0</v>
      </c>
      <c r="BZ18" s="772">
        <f>IF(AND(MONTH((DATE(1899,12,31)+(0*7+IF($K18&gt;60,$K18-1,$K18))))=$BZ$8,YEAR((DATE(1899,12,31)+(0*7+IF($K18&gt;60,$K18-1,$K18))))=$BZ$5),($J18*$C18),0)</f>
        <v>0</v>
      </c>
    </row>
    <row r="19" s="58" customFormat="1" ht="18" customHeight="1">
      <c r="B19" s="539"/>
      <c r="C19" s="539"/>
      <c r="D19" t="s" s="540">
        <f>LEFT(B19,1)</f>
      </c>
      <c r="E19" s="540">
        <f>IF(C19="",0,(IF(LEN(B19)=5,MID(B19,3,1),MID(B19,3,2))))</f>
        <v>0</v>
      </c>
      <c r="F19" s="540">
        <f>IF(AE19="H","House",IF(AE19="B","Bungalow",IF(AE19="F","Flat",IF(AE19="S","Shared",IF(AE19="T","Bedsit",IF(AE19="A","Wheelchair Flat",IF(AE19="W","Wheelchair",0)))))))</f>
        <v>0</v>
      </c>
      <c r="G19" s="539"/>
      <c r="H19" s="541"/>
      <c r="I19" s="773">
        <f>I18</f>
        <v>0.5</v>
      </c>
      <c r="J19" s="774">
        <f>H19*I19</f>
        <v>0</v>
      </c>
      <c r="K19" s="775"/>
      <c r="L19" s="770">
        <f>L18</f>
        <v>0.0275</v>
      </c>
      <c r="M19" s="678">
        <v>1</v>
      </c>
      <c r="N19" s="540">
        <f>ROUND((H19*L19*(M19-I19))/52,2)</f>
        <v>0</v>
      </c>
      <c r="O19" s="776">
        <f>N19*C19*52</f>
        <v>0</v>
      </c>
      <c r="P19" s="544">
        <f>J19*C19</f>
        <v>0</v>
      </c>
      <c r="AB19" s="759">
        <f>IF(C19=0,0,(C19*G19)/$G$21*$AB$21)</f>
        <v>0</v>
      </c>
      <c r="AC19" s="532">
        <f>AB19*I19</f>
        <v>0</v>
      </c>
      <c r="AD19" s="108"/>
      <c r="AE19" t="s" s="62">
        <f>RIGHT(B19,1)</f>
      </c>
      <c r="AF19" s="62">
        <v>9</v>
      </c>
      <c r="AG19" s="759">
        <f>AG18*(1+'Social Rent'!$AO$23)</f>
        <v>0</v>
      </c>
      <c r="AH19" s="759"/>
      <c r="AI19" s="599">
        <f>(AG19+AH19)*(1/((1+$AG$8)^(AF19-0.5)))</f>
        <v>0</v>
      </c>
      <c r="AL19" t="s" s="90">
        <v>779</v>
      </c>
      <c r="AQ19" s="772">
        <f>IF(AND(MONTH((DATE(1899,12,31)+(0*7+IF($K19&gt;60,$K19-1,$K19))))=$AQ$8,YEAR((DATE(1899,12,31)+(0*7+IF($K19&gt;60,$K19-1,$K19))))=$AQ$5),($J19*$C19),0)</f>
        <v>0</v>
      </c>
      <c r="AR19" s="772">
        <f>IF(AND(MONTH((DATE(1899,12,31)+(0*7+IF($K19&gt;60,$K19-1,$K19))))=$AR$8,YEAR((DATE(1899,12,31)+(0*7+IF($K19&gt;60,$K19-1,$K19))))=$AR$5),($J19*$C19),0)</f>
        <v>0</v>
      </c>
      <c r="AS19" s="772">
        <f>IF(AND(MONTH((DATE(1899,12,31)+(0*7+IF($K19&gt;60,$K19-1,$K19))))=$AS$8,YEAR((DATE(1899,12,31)+(0*7+IF($K19&gt;60,$K19-1,$K19))))=$AS$5),($J19*$C19),0)</f>
        <v>0</v>
      </c>
      <c r="AT19" s="772">
        <f>IF(AND(MONTH((DATE(1899,12,31)+(0*7+IF($K19&gt;60,$K19-1,$K19))))=$AT$8,YEAR((DATE(1899,12,31)+(0*7+IF($K19&gt;60,$K19-1,$K19))))=$AT$5),($J19*$C19),0)</f>
        <v>0</v>
      </c>
      <c r="AU19" s="772">
        <f>IF(AND(MONTH((DATE(1899,12,31)+(0*7+IF($K19&gt;60,$K19-1,$K19))))=$AU$8,YEAR((DATE(1899,12,31)+(0*7+IF($K19&gt;60,$K19-1,$K19))))=$AU$5),($J19*$C19),0)</f>
        <v>0</v>
      </c>
      <c r="AV19" s="772">
        <f>IF(AND(MONTH((DATE(1899,12,31)+(0*7+IF($K19&gt;60,$K19-1,$K19))))=$AV$8,YEAR((DATE(1899,12,31)+(0*7+IF($K19&gt;60,$K19-1,$K19))))=$AV$5),($J19*$C19),0)</f>
        <v>0</v>
      </c>
      <c r="AW19" s="772">
        <f>IF(AND(MONTH((DATE(1899,12,31)+(0*7+IF($K19&gt;60,$K19-1,$K19))))=$AW$8,YEAR((DATE(1899,12,31)+(0*7+IF($K19&gt;60,$K19-1,$K19))))=$AW$5),($J19*$C19),0)</f>
        <v>0</v>
      </c>
      <c r="AX19" s="772">
        <f>IF(AND(MONTH((DATE(1899,12,31)+(0*7+IF($K19&gt;60,$K19-1,$K19))))=$AX$8,YEAR((DATE(1899,12,31)+(0*7+IF($K19&gt;60,$K19-1,$K19))))=$AX$5),($J19*$C19),0)</f>
        <v>0</v>
      </c>
      <c r="AY19" s="772">
        <f>IF(AND(MONTH((DATE(1899,12,31)+(0*7+IF($K19&gt;60,$K19-1,$K19))))=$AY$8,YEAR((DATE(1899,12,31)+(0*7+IF($K19&gt;60,$K19-1,$K19))))=$AY$5),($J19*$C19),0)</f>
        <v>0</v>
      </c>
      <c r="AZ19" s="772">
        <f>IF(AND(MONTH((DATE(1899,12,31)+(0*7+IF($K19&gt;60,$K19-1,$K19))))=$AZ$8,YEAR((DATE(1899,12,31)+(0*7+IF($K19&gt;60,$K19-1,$K19))))=$AZ$5),($J19*$C19),0)</f>
        <v>0</v>
      </c>
      <c r="BA19" s="772">
        <f>IF(AND(MONTH((DATE(1899,12,31)+(0*7+IF($K19&gt;60,$K19-1,$K19))))=$BA$8,YEAR((DATE(1899,12,31)+(0*7+IF($K19&gt;60,$K19-1,$K19))))=$BA$5),($J19*$C19),0)</f>
        <v>0</v>
      </c>
      <c r="BB19" s="772">
        <f>IF(AND(MONTH((DATE(1899,12,31)+(0*7+IF($K19&gt;60,$K19-1,$K19))))=$BB$8,YEAR((DATE(1899,12,31)+(0*7+IF($K19&gt;60,$K19-1,$K19))))=$BB$5),($J19*$C19),0)</f>
        <v>0</v>
      </c>
      <c r="BC19" s="772">
        <f>IF(AND(MONTH((DATE(1899,12,31)+(0*7+IF($K19&gt;60,$K19-1,$K19))))=$BC$8,YEAR((DATE(1899,12,31)+(0*7+IF($K19&gt;60,$K19-1,$K19))))=$BC$5),($J19*$C19),0)</f>
        <v>0</v>
      </c>
      <c r="BD19" s="772">
        <f>IF(AND(MONTH((DATE(1899,12,31)+(0*7+IF($K19&gt;60,$K19-1,$K19))))=$BD$8,YEAR((DATE(1899,12,31)+(0*7+IF($K19&gt;60,$K19-1,$K19))))=$BD$5),($J19*$C19),0)</f>
        <v>0</v>
      </c>
      <c r="BE19" s="772">
        <f>IF(AND(MONTH((DATE(1899,12,31)+(0*7+IF($K19&gt;60,$K19-1,$K19))))=$BE$8,YEAR((DATE(1899,12,31)+(0*7+IF($K19&gt;60,$K19-1,$K19))))=$BE$5),($J19*$C19),0)</f>
        <v>0</v>
      </c>
      <c r="BF19" s="772">
        <f>IF(AND(MONTH((DATE(1899,12,31)+(0*7+IF($K19&gt;60,$K19-1,$K19))))=$BF$8,YEAR((DATE(1899,12,31)+(0*7+IF($K19&gt;60,$K19-1,$K19))))=$BF$5),($J19*$C19),0)</f>
        <v>0</v>
      </c>
      <c r="BG19" s="772">
        <f>IF(AND(MONTH((DATE(1899,12,31)+(0*7+IF($K19&gt;60,$K19-1,$K19))))=$BG$8,YEAR((DATE(1899,12,31)+(0*7+IF($K19&gt;60,$K19-1,$K19))))=$BG$5),($J19*$C19),0)</f>
        <v>0</v>
      </c>
      <c r="BH19" s="772">
        <f>IF(AND(MONTH((DATE(1899,12,31)+(0*7+IF($K19&gt;60,$K19-1,$K19))))=$BH$8,YEAR((DATE(1899,12,31)+(0*7+IF($K19&gt;60,$K19-1,$K19))))=$BH$5),($J19*$C19),0)</f>
        <v>0</v>
      </c>
      <c r="BI19" s="772">
        <f>IF(AND(MONTH((DATE(1899,12,31)+(0*7+IF($K19&gt;60,$K19-1,$K19))))=$BI$8,YEAR((DATE(1899,12,31)+(0*7+IF($K19&gt;60,$K19-1,$K19))))=$BI$5),($J19*$C19),0)</f>
        <v>0</v>
      </c>
      <c r="BJ19" s="772">
        <f>IF(AND(MONTH((DATE(1899,12,31)+(0*7+IF($K19&gt;60,$K19-1,$K19))))=$BJ$8,YEAR((DATE(1899,12,31)+(0*7+IF($K19&gt;60,$K19-1,$K19))))=$BJ$5),($J19*$C19),0)</f>
        <v>0</v>
      </c>
      <c r="BK19" s="772">
        <f>IF(AND(MONTH((DATE(1899,12,31)+(0*7+IF($K19&gt;60,$K19-1,$K19))))=$BK$8,YEAR((DATE(1899,12,31)+(0*7+IF($K19&gt;60,$K19-1,$K19))))=$BK$5),($J19*$C19),0)</f>
        <v>0</v>
      </c>
      <c r="BL19" s="772">
        <f>IF(AND(MONTH((DATE(1899,12,31)+(0*7+IF($K19&gt;60,$K19-1,$K19))))=$BL$8,YEAR((DATE(1899,12,31)+(0*7+IF($K19&gt;60,$K19-1,$K19))))=$BL$5),($J19*$C19),0)</f>
        <v>0</v>
      </c>
      <c r="BM19" s="772">
        <f>IF(AND(MONTH((DATE(1899,12,31)+(0*7+IF($K19&gt;60,$K19-1,$K19))))=$BM$8,YEAR((DATE(1899,12,31)+(0*7+IF($K19&gt;60,$K19-1,$K19))))=$BM$5),($J19*$C19),0)</f>
        <v>0</v>
      </c>
      <c r="BN19" s="772">
        <f>IF(AND(MONTH((DATE(1899,12,31)+(0*7+IF($K19&gt;60,$K19-1,$K19))))=$BN$8,YEAR((DATE(1899,12,31)+(0*7+IF($K19&gt;60,$K19-1,$K19))))=$BN$5),($J19*$C19),0)</f>
        <v>0</v>
      </c>
      <c r="BO19" s="772">
        <f>IF(AND(MONTH((DATE(1899,12,31)+(0*7+IF($K19&gt;60,$K19-1,$K19))))=$BO$8,YEAR((DATE(1899,12,31)+(0*7+IF($K19&gt;60,$K19-1,$K19))))=$BO$5),($J19*$C19),0)</f>
        <v>0</v>
      </c>
      <c r="BP19" s="772">
        <f>IF(AND(MONTH((DATE(1899,12,31)+(0*7+IF($K19&gt;60,$K19-1,$K19))))=$BP$8,YEAR((DATE(1899,12,31)+(0*7+IF($K19&gt;60,$K19-1,$K19))))=$BP$5),($J19*$C19),0)</f>
        <v>0</v>
      </c>
      <c r="BQ19" s="772">
        <f>IF(AND(MONTH((DATE(1899,12,31)+(0*7+IF($K19&gt;60,$K19-1,$K19))))=$BQ$8,YEAR((DATE(1899,12,31)+(0*7+IF($K19&gt;60,$K19-1,$K19))))=$BQ$5),($J19*$C19),0)</f>
        <v>0</v>
      </c>
      <c r="BR19" s="772">
        <f>IF(AND(MONTH((DATE(1899,12,31)+(0*7+IF($K19&gt;60,$K19-1,$K19))))=$BR$8,YEAR((DATE(1899,12,31)+(0*7+IF($K19&gt;60,$K19-1,$K19))))=$BR$5),($J19*$C19),0)</f>
        <v>0</v>
      </c>
      <c r="BS19" s="772">
        <f>IF(AND(MONTH((DATE(1899,12,31)+(0*7+IF($K19&gt;60,$K19-1,$K19))))=$BS$8,YEAR((DATE(1899,12,31)+(0*7+IF($K19&gt;60,$K19-1,$K19))))=$BS$5),($J19*$C19),0)</f>
        <v>0</v>
      </c>
      <c r="BT19" s="772">
        <f>IF(AND(MONTH((DATE(1899,12,31)+(0*7+IF($K19&gt;60,$K19-1,$K19))))=$BT$8,YEAR((DATE(1899,12,31)+(0*7+IF($K19&gt;60,$K19-1,$K19))))=$BT$5),($J19*$C19),0)</f>
        <v>0</v>
      </c>
      <c r="BU19" s="772">
        <f>IF(AND(MONTH((DATE(1899,12,31)+(0*7+IF($K19&gt;60,$K19-1,$K19))))=$BU$8,YEAR((DATE(1899,12,31)+(0*7+IF($K19&gt;60,$K19-1,$K19))))=$BU$5),($J19*$C19),0)</f>
        <v>0</v>
      </c>
      <c r="BV19" s="772">
        <f>IF(AND(MONTH((DATE(1899,12,31)+(0*7+IF($K19&gt;60,$K19-1,$K19))))=$BV$8,YEAR((DATE(1899,12,31)+(0*7+IF($K19&gt;60,$K19-1,$K19))))=$BV$5),($J19*$C19),0)</f>
        <v>0</v>
      </c>
      <c r="BW19" s="772">
        <f>IF(AND(MONTH((DATE(1899,12,31)+(0*7+IF($K19&gt;60,$K19-1,$K19))))=$BW$8,YEAR((DATE(1899,12,31)+(0*7+IF($K19&gt;60,$K19-1,$K19))))=$BW$5),($J19*$C19),0)</f>
        <v>0</v>
      </c>
      <c r="BX19" s="772">
        <f>IF(AND(MONTH((DATE(1899,12,31)+(0*7+IF($K19&gt;60,$K19-1,$K19))))=$BX$8,YEAR((DATE(1899,12,31)+(0*7+IF($K19&gt;60,$K19-1,$K19))))=$BX$5),($J19*$C19),0)</f>
        <v>0</v>
      </c>
      <c r="BY19" s="772">
        <f>IF(AND(MONTH((DATE(1899,12,31)+(0*7+IF($K19&gt;60,$K19-1,$K19))))=$BY$8,YEAR((DATE(1899,12,31)+(0*7+IF($K19&gt;60,$K19-1,$K19))))=$BY$5),($J19*$C19),0)</f>
        <v>0</v>
      </c>
      <c r="BZ19" s="772">
        <f>IF(AND(MONTH((DATE(1899,12,31)+(0*7+IF($K19&gt;60,$K19-1,$K19))))=$BZ$8,YEAR((DATE(1899,12,31)+(0*7+IF($K19&gt;60,$K19-1,$K19))))=$BZ$5),($J19*$C19),0)</f>
        <v>0</v>
      </c>
    </row>
    <row r="20" s="58" customFormat="1" ht="18" customHeight="1">
      <c r="B20" s="539"/>
      <c r="C20" s="560"/>
      <c r="D20" t="s" s="540">
        <f>LEFT(B20,1)</f>
      </c>
      <c r="E20" s="561">
        <f>IF(C20="",0,(IF(LEN(B20)=5,MID(B20,3,1),MID(B20,3,2))))</f>
        <v>0</v>
      </c>
      <c r="F20" s="540">
        <f>IF(AE20="H","House",IF(AE20="B","Bungalow",IF(AE20="F","Flat",IF(AE20="S","Shared",IF(AE20="T","Bedsit",IF(AE20="A","Wheelchair Flat",IF(AE20="W","Wheelchair",0)))))))</f>
        <v>0</v>
      </c>
      <c r="G20" s="560"/>
      <c r="H20" s="562"/>
      <c r="I20" s="777">
        <f>I19</f>
        <v>0.5</v>
      </c>
      <c r="J20" s="778">
        <f>H20*I20</f>
        <v>0</v>
      </c>
      <c r="K20" s="779"/>
      <c r="L20" s="770">
        <f>L19</f>
        <v>0.0275</v>
      </c>
      <c r="M20" s="780">
        <v>1</v>
      </c>
      <c r="N20" s="781">
        <f>ROUND((H20*L20*(M20-I20))/52,2)</f>
        <v>0</v>
      </c>
      <c r="O20" s="782">
        <f>N20*C20*52</f>
        <v>0</v>
      </c>
      <c r="P20" s="783">
        <f>J20*C20</f>
        <v>0</v>
      </c>
      <c r="AB20" s="759">
        <f>IF(C20=0,0,(C20*G20)/$G$21*$AB$21)</f>
        <v>0</v>
      </c>
      <c r="AC20" s="532">
        <f>AB20*I20</f>
        <v>0</v>
      </c>
      <c r="AD20" s="108"/>
      <c r="AE20" t="s" s="62">
        <f>RIGHT(B20,1)</f>
      </c>
      <c r="AF20" s="62">
        <v>10</v>
      </c>
      <c r="AG20" s="759">
        <f>AG19*(1+'Social Rent'!$AO$23)</f>
        <v>0</v>
      </c>
      <c r="AH20" s="759"/>
      <c r="AI20" s="599">
        <f>(AG20+AH20)*(1/((1+$AG$8)^(AF20-0.5)))</f>
        <v>0</v>
      </c>
      <c r="AL20" t="s" s="90">
        <v>783</v>
      </c>
      <c r="AQ20" s="772">
        <f>IF(AND(MONTH((DATE(1899,12,31)+(0*7+IF($K20&gt;60,$K20-1,$K20))))=$AQ$8,YEAR((DATE(1899,12,31)+(0*7+IF($K20&gt;60,$K20-1,$K20))))=$AQ$5),($J20*$C20),0)</f>
        <v>0</v>
      </c>
      <c r="AR20" s="772">
        <f>IF(AND(MONTH((DATE(1899,12,31)+(0*7+IF($K20&gt;60,$K20-1,$K20))))=$AR$8,YEAR((DATE(1899,12,31)+(0*7+IF($K20&gt;60,$K20-1,$K20))))=$AR$5),($J20*$C20),0)</f>
        <v>0</v>
      </c>
      <c r="AS20" s="772">
        <f>IF(AND(MONTH((DATE(1899,12,31)+(0*7+IF($K20&gt;60,$K20-1,$K20))))=$AS$8,YEAR((DATE(1899,12,31)+(0*7+IF($K20&gt;60,$K20-1,$K20))))=$AS$5),($J20*$C20),0)</f>
        <v>0</v>
      </c>
      <c r="AT20" s="772">
        <f>IF(AND(MONTH((DATE(1899,12,31)+(0*7+IF($K20&gt;60,$K20-1,$K20))))=$AT$8,YEAR((DATE(1899,12,31)+(0*7+IF($K20&gt;60,$K20-1,$K20))))=$AT$5),($J20*$C20),0)</f>
        <v>0</v>
      </c>
      <c r="AU20" s="772">
        <f>IF(AND(MONTH((DATE(1899,12,31)+(0*7+IF($K20&gt;60,$K20-1,$K20))))=$AU$8,YEAR((DATE(1899,12,31)+(0*7+IF($K20&gt;60,$K20-1,$K20))))=$AU$5),($J20*$C20),0)</f>
        <v>0</v>
      </c>
      <c r="AV20" s="772">
        <f>IF(AND(MONTH((DATE(1899,12,31)+(0*7+IF($K20&gt;60,$K20-1,$K20))))=$AV$8,YEAR((DATE(1899,12,31)+(0*7+IF($K20&gt;60,$K20-1,$K20))))=$AV$5),($J20*$C20),0)</f>
        <v>0</v>
      </c>
      <c r="AW20" s="772">
        <f>IF(AND(MONTH((DATE(1899,12,31)+(0*7+IF($K20&gt;60,$K20-1,$K20))))=$AW$8,YEAR((DATE(1899,12,31)+(0*7+IF($K20&gt;60,$K20-1,$K20))))=$AW$5),($J20*$C20),0)</f>
        <v>0</v>
      </c>
      <c r="AX20" s="772">
        <f>IF(AND(MONTH((DATE(1899,12,31)+(0*7+IF($K20&gt;60,$K20-1,$K20))))=$AX$8,YEAR((DATE(1899,12,31)+(0*7+IF($K20&gt;60,$K20-1,$K20))))=$AX$5),($J20*$C20),0)</f>
        <v>0</v>
      </c>
      <c r="AY20" s="772">
        <f>IF(AND(MONTH((DATE(1899,12,31)+(0*7+IF($K20&gt;60,$K20-1,$K20))))=$AY$8,YEAR((DATE(1899,12,31)+(0*7+IF($K20&gt;60,$K20-1,$K20))))=$AY$5),($J20*$C20),0)</f>
        <v>0</v>
      </c>
      <c r="AZ20" s="772">
        <f>IF(AND(MONTH((DATE(1899,12,31)+(0*7+IF($K20&gt;60,$K20-1,$K20))))=$AZ$8,YEAR((DATE(1899,12,31)+(0*7+IF($K20&gt;60,$K20-1,$K20))))=$AZ$5),($J20*$C20),0)</f>
        <v>0</v>
      </c>
      <c r="BA20" s="772">
        <f>IF(AND(MONTH((DATE(1899,12,31)+(0*7+IF($K20&gt;60,$K20-1,$K20))))=$BA$8,YEAR((DATE(1899,12,31)+(0*7+IF($K20&gt;60,$K20-1,$K20))))=$BA$5),($J20*$C20),0)</f>
        <v>0</v>
      </c>
      <c r="BB20" s="772">
        <f>IF(AND(MONTH((DATE(1899,12,31)+(0*7+IF($K20&gt;60,$K20-1,$K20))))=$BB$8,YEAR((DATE(1899,12,31)+(0*7+IF($K20&gt;60,$K20-1,$K20))))=$BB$5),($J20*$C20),0)</f>
        <v>0</v>
      </c>
      <c r="BC20" s="772">
        <f>IF(AND(MONTH((DATE(1899,12,31)+(0*7+IF($K20&gt;60,$K20-1,$K20))))=$BC$8,YEAR((DATE(1899,12,31)+(0*7+IF($K20&gt;60,$K20-1,$K20))))=$BC$5),($J20*$C20),0)</f>
        <v>0</v>
      </c>
      <c r="BD20" s="772">
        <f>IF(AND(MONTH((DATE(1899,12,31)+(0*7+IF($K20&gt;60,$K20-1,$K20))))=$BD$8,YEAR((DATE(1899,12,31)+(0*7+IF($K20&gt;60,$K20-1,$K20))))=$BD$5),($J20*$C20),0)</f>
        <v>0</v>
      </c>
      <c r="BE20" s="772">
        <f>IF(AND(MONTH((DATE(1899,12,31)+(0*7+IF($K20&gt;60,$K20-1,$K20))))=$BE$8,YEAR((DATE(1899,12,31)+(0*7+IF($K20&gt;60,$K20-1,$K20))))=$BE$5),($J20*$C20),0)</f>
        <v>0</v>
      </c>
      <c r="BF20" s="772">
        <f>IF(AND(MONTH((DATE(1899,12,31)+(0*7+IF($K20&gt;60,$K20-1,$K20))))=$BF$8,YEAR((DATE(1899,12,31)+(0*7+IF($K20&gt;60,$K20-1,$K20))))=$BF$5),($J20*$C20),0)</f>
        <v>0</v>
      </c>
      <c r="BG20" s="772">
        <f>IF(AND(MONTH((DATE(1899,12,31)+(0*7+IF($K20&gt;60,$K20-1,$K20))))=$BG$8,YEAR((DATE(1899,12,31)+(0*7+IF($K20&gt;60,$K20-1,$K20))))=$BG$5),($J20*$C20),0)</f>
        <v>0</v>
      </c>
      <c r="BH20" s="772">
        <f>IF(AND(MONTH((DATE(1899,12,31)+(0*7+IF($K20&gt;60,$K20-1,$K20))))=$BH$8,YEAR((DATE(1899,12,31)+(0*7+IF($K20&gt;60,$K20-1,$K20))))=$BH$5),($J20*$C20),0)</f>
        <v>0</v>
      </c>
      <c r="BI20" s="772">
        <f>IF(AND(MONTH((DATE(1899,12,31)+(0*7+IF($K20&gt;60,$K20-1,$K20))))=$BI$8,YEAR((DATE(1899,12,31)+(0*7+IF($K20&gt;60,$K20-1,$K20))))=$BI$5),($J20*$C20),0)</f>
        <v>0</v>
      </c>
      <c r="BJ20" s="772">
        <f>IF(AND(MONTH((DATE(1899,12,31)+(0*7+IF($K20&gt;60,$K20-1,$K20))))=$BJ$8,YEAR((DATE(1899,12,31)+(0*7+IF($K20&gt;60,$K20-1,$K20))))=$BJ$5),($J20*$C20),0)</f>
        <v>0</v>
      </c>
      <c r="BK20" s="772">
        <f>IF(AND(MONTH((DATE(1899,12,31)+(0*7+IF($K20&gt;60,$K20-1,$K20))))=$BK$8,YEAR((DATE(1899,12,31)+(0*7+IF($K20&gt;60,$K20-1,$K20))))=$BK$5),($J20*$C20),0)</f>
        <v>0</v>
      </c>
      <c r="BL20" s="772">
        <f>IF(AND(MONTH((DATE(1899,12,31)+(0*7+IF($K20&gt;60,$K20-1,$K20))))=$BL$8,YEAR((DATE(1899,12,31)+(0*7+IF($K20&gt;60,$K20-1,$K20))))=$BL$5),($J20*$C20),0)</f>
        <v>0</v>
      </c>
      <c r="BM20" s="772">
        <f>IF(AND(MONTH((DATE(1899,12,31)+(0*7+IF($K20&gt;60,$K20-1,$K20))))=$BM$8,YEAR((DATE(1899,12,31)+(0*7+IF($K20&gt;60,$K20-1,$K20))))=$BM$5),($J20*$C20),0)</f>
        <v>0</v>
      </c>
      <c r="BN20" s="772">
        <f>IF(AND(MONTH((DATE(1899,12,31)+(0*7+IF($K20&gt;60,$K20-1,$K20))))=$BN$8,YEAR((DATE(1899,12,31)+(0*7+IF($K20&gt;60,$K20-1,$K20))))=$BN$5),($J20*$C20),0)</f>
        <v>0</v>
      </c>
      <c r="BO20" s="772">
        <f>IF(AND(MONTH((DATE(1899,12,31)+(0*7+IF($K20&gt;60,$K20-1,$K20))))=$BO$8,YEAR((DATE(1899,12,31)+(0*7+IF($K20&gt;60,$K20-1,$K20))))=$BO$5),($J20*$C20),0)</f>
        <v>0</v>
      </c>
      <c r="BP20" s="772">
        <f>IF(AND(MONTH((DATE(1899,12,31)+(0*7+IF($K20&gt;60,$K20-1,$K20))))=$BP$8,YEAR((DATE(1899,12,31)+(0*7+IF($K20&gt;60,$K20-1,$K20))))=$BP$5),($J20*$C20),0)</f>
        <v>0</v>
      </c>
      <c r="BQ20" s="772">
        <f>IF(AND(MONTH((DATE(1899,12,31)+(0*7+IF($K20&gt;60,$K20-1,$K20))))=$BQ$8,YEAR((DATE(1899,12,31)+(0*7+IF($K20&gt;60,$K20-1,$K20))))=$BQ$5),($J20*$C20),0)</f>
        <v>0</v>
      </c>
      <c r="BR20" s="772">
        <f>IF(AND(MONTH((DATE(1899,12,31)+(0*7+IF($K20&gt;60,$K20-1,$K20))))=$BR$8,YEAR((DATE(1899,12,31)+(0*7+IF($K20&gt;60,$K20-1,$K20))))=$BR$5),($J20*$C20),0)</f>
        <v>0</v>
      </c>
      <c r="BS20" s="772">
        <f>IF(AND(MONTH((DATE(1899,12,31)+(0*7+IF($K20&gt;60,$K20-1,$K20))))=$BS$8,YEAR((DATE(1899,12,31)+(0*7+IF($K20&gt;60,$K20-1,$K20))))=$BS$5),($J20*$C20),0)</f>
        <v>0</v>
      </c>
      <c r="BT20" s="772">
        <f>IF(AND(MONTH((DATE(1899,12,31)+(0*7+IF($K20&gt;60,$K20-1,$K20))))=$BT$8,YEAR((DATE(1899,12,31)+(0*7+IF($K20&gt;60,$K20-1,$K20))))=$BT$5),($J20*$C20),0)</f>
        <v>0</v>
      </c>
      <c r="BU20" s="772">
        <f>IF(AND(MONTH((DATE(1899,12,31)+(0*7+IF($K20&gt;60,$K20-1,$K20))))=$BU$8,YEAR((DATE(1899,12,31)+(0*7+IF($K20&gt;60,$K20-1,$K20))))=$BU$5),($J20*$C20),0)</f>
        <v>0</v>
      </c>
      <c r="BV20" s="772">
        <f>IF(AND(MONTH((DATE(1899,12,31)+(0*7+IF($K20&gt;60,$K20-1,$K20))))=$BV$8,YEAR((DATE(1899,12,31)+(0*7+IF($K20&gt;60,$K20-1,$K20))))=$BV$5),($J20*$C20),0)</f>
        <v>0</v>
      </c>
      <c r="BW20" s="772">
        <f>IF(AND(MONTH((DATE(1899,12,31)+(0*7+IF($K20&gt;60,$K20-1,$K20))))=$BW$8,YEAR((DATE(1899,12,31)+(0*7+IF($K20&gt;60,$K20-1,$K20))))=$BW$5),($J20*$C20),0)</f>
        <v>0</v>
      </c>
      <c r="BX20" s="772">
        <f>IF(AND(MONTH((DATE(1899,12,31)+(0*7+IF($K20&gt;60,$K20-1,$K20))))=$BX$8,YEAR((DATE(1899,12,31)+(0*7+IF($K20&gt;60,$K20-1,$K20))))=$BX$5),($J20*$C20),0)</f>
        <v>0</v>
      </c>
      <c r="BY20" s="772">
        <f>IF(AND(MONTH((DATE(1899,12,31)+(0*7+IF($K20&gt;60,$K20-1,$K20))))=$BY$8,YEAR((DATE(1899,12,31)+(0*7+IF($K20&gt;60,$K20-1,$K20))))=$BY$5),($J20*$C20),0)</f>
        <v>0</v>
      </c>
      <c r="BZ20" s="772">
        <f>IF(AND(MONTH((DATE(1899,12,31)+(0*7+IF($K20&gt;60,$K20-1,$K20))))=$BZ$8,YEAR((DATE(1899,12,31)+(0*7+IF($K20&gt;60,$K20-1,$K20))))=$BZ$5),($J20*$C20),0)</f>
        <v>0</v>
      </c>
    </row>
    <row r="21" s="58" customFormat="1" ht="17.25" customHeight="1">
      <c r="B21" t="s" s="566">
        <v>785</v>
      </c>
      <c r="C21" s="567">
        <f>SUM(C11:C20)</f>
        <v>0</v>
      </c>
      <c r="D21" t="s" s="568">
        <v>786</v>
      </c>
      <c r="E21" s="567">
        <f>($C$11*E11)+($C$12*E12)+($C$13*E13)+($C$14*E14)+($C$15*E15)+($C$16*E16)+($C$17*E17)+($C$18*E18)+($C$19*E19)+($C$20*E20)</f>
        <v>0</v>
      </c>
      <c r="G21" s="569">
        <f>($C$11*G11)+($C$12*G12)+($C$13*G13)+($C$14*G14)+($C$15*G15)+($C$16*G16)+($C$17*G17)+($C$18*G18)+($C$19*G19)+($C$20*G20)</f>
        <v>0</v>
      </c>
      <c r="H21" s="569">
        <f>($C$11*H11)+($C$12*H12)+($C$13*H13)+($C$14*H14)+($C$15*H15)+($C$16*H16)+($C$17*H17)+($C$18*H18)+($C$19*H19)+($C$20*H20)</f>
        <v>0</v>
      </c>
      <c r="I21" s="784">
        <f>IF(C21=0,0,(($C$11*I11)+($C$12*I12)+($C$13*I13)+($C$14*I14)+($C$15*I15)+($C$16*I16)+($C$17*I17)+($C$18*I18)+($C$19*I19)+($C$20*I20))/C21)</f>
        <v>0</v>
      </c>
      <c r="J21" s="569">
        <f>($C$11*J11)+($C$12*J12)+($C$13*J13)+($C$14*J14)+($C$15*J15)+($C$16*J16)+($C$17*J17)+($C$18*J18)+($C$19*J19)+($C$20*J20)</f>
        <v>0</v>
      </c>
      <c r="K21" s="785"/>
      <c r="L21" s="786"/>
      <c r="M21" s="787"/>
      <c r="O21" s="788">
        <f>SUM(O11:O20)</f>
        <v>0</v>
      </c>
      <c r="AB21" s="759">
        <f>IF(C21=0,0,('Summary'!D11/'Summary'!D16*'Summary'!D34))</f>
        <v>0</v>
      </c>
      <c r="AC21" s="532">
        <f>AB21*I21</f>
        <v>0</v>
      </c>
      <c r="AD21" s="108"/>
      <c r="AE21" s="56"/>
      <c r="AF21" s="62">
        <v>11</v>
      </c>
      <c r="AG21" s="759">
        <f>AG20*(1+'Social Rent'!$AO$23)</f>
        <v>0</v>
      </c>
      <c r="AH21" s="759"/>
      <c r="AI21" s="599">
        <f>(AG21+AH21)*(1/((1+$AG$8)^(AF21-0.5)))</f>
        <v>0</v>
      </c>
      <c r="AL21" t="s" s="90">
        <v>788</v>
      </c>
      <c r="AQ21" s="772"/>
      <c r="AR21" s="772"/>
      <c r="AS21" s="772"/>
      <c r="AT21" s="772"/>
      <c r="AU21" s="772"/>
      <c r="AV21" s="772"/>
      <c r="AW21" s="772"/>
      <c r="AX21" s="772"/>
      <c r="AY21" s="772"/>
      <c r="AZ21" s="772"/>
      <c r="BA21" s="772"/>
      <c r="BB21" s="772"/>
      <c r="BC21" s="772"/>
      <c r="BD21" s="772"/>
      <c r="BE21" s="772"/>
      <c r="BF21" s="772"/>
      <c r="BG21" s="772"/>
      <c r="BH21" s="772"/>
      <c r="BI21" s="772"/>
      <c r="BJ21" s="772"/>
      <c r="BK21" s="772"/>
      <c r="BL21" s="772"/>
      <c r="BM21" s="772"/>
      <c r="BN21" s="772"/>
      <c r="BO21" s="772"/>
      <c r="BP21" s="772"/>
      <c r="BQ21" s="772"/>
      <c r="BR21" s="772"/>
      <c r="BS21" s="772"/>
      <c r="BT21" s="772"/>
      <c r="BU21" s="772"/>
      <c r="BV21" s="772"/>
      <c r="BW21" s="772"/>
      <c r="BX21" s="772"/>
      <c r="BY21" s="772"/>
      <c r="BZ21" s="772"/>
    </row>
    <row r="22" s="58" customFormat="1" ht="18" customHeight="1">
      <c r="AC22" s="532"/>
      <c r="AD22" s="108"/>
      <c r="AE22" s="56"/>
      <c r="AF22" s="62">
        <v>12</v>
      </c>
      <c r="AG22" s="759">
        <f>AG21*(1+'Social Rent'!$AO$23)</f>
        <v>0</v>
      </c>
      <c r="AH22" s="759"/>
      <c r="AI22" s="599">
        <f>(AG22+AH22)*(1/((1+$AG$8)^(AF22-0.5)))</f>
        <v>0</v>
      </c>
      <c r="AL22" t="s" s="90">
        <v>792</v>
      </c>
      <c r="AQ22" s="789">
        <f>SUM(AQ11:AQ20)</f>
        <v>0</v>
      </c>
      <c r="AR22" s="789">
        <f>SUM(AR11:AR20)</f>
        <v>0</v>
      </c>
      <c r="AS22" s="789">
        <f>SUM(AS11:AS20)</f>
        <v>0</v>
      </c>
      <c r="AT22" s="789">
        <f>SUM(AT11:AT20)</f>
        <v>0</v>
      </c>
      <c r="AU22" s="789">
        <f>SUM(AU11:AU20)</f>
        <v>0</v>
      </c>
      <c r="AV22" s="789">
        <f>SUM(AV11:AV20)</f>
        <v>0</v>
      </c>
      <c r="AW22" s="789">
        <f>SUM(AW11:AW20)</f>
        <v>0</v>
      </c>
      <c r="AX22" s="789">
        <f>SUM(AX11:AX20)</f>
        <v>0</v>
      </c>
      <c r="AY22" s="789">
        <f>SUM(AY11:AY20)</f>
        <v>0</v>
      </c>
      <c r="AZ22" s="789">
        <f>SUM(AZ11:AZ20)</f>
        <v>0</v>
      </c>
      <c r="BA22" s="789">
        <f>SUM(BA11:BA20)</f>
        <v>0</v>
      </c>
      <c r="BB22" s="789">
        <f>SUM(BB11:BB20)</f>
        <v>0</v>
      </c>
      <c r="BC22" s="789">
        <f>SUM(BC11:BC20)</f>
        <v>0</v>
      </c>
      <c r="BD22" s="789">
        <f>SUM(BD11:BD20)</f>
        <v>0</v>
      </c>
      <c r="BE22" s="789">
        <f>SUM(BE11:BE20)</f>
        <v>0</v>
      </c>
      <c r="BF22" s="789">
        <f>SUM(BF11:BF20)</f>
        <v>0</v>
      </c>
      <c r="BG22" s="789">
        <f>SUM(BG11:BG20)</f>
        <v>0</v>
      </c>
      <c r="BH22" s="789">
        <f>SUM(BH11:BH20)</f>
        <v>0</v>
      </c>
      <c r="BI22" s="789">
        <f>SUM(BI11:BI20)</f>
        <v>0</v>
      </c>
      <c r="BJ22" s="789">
        <f>SUM(BJ11:BJ20)</f>
        <v>0</v>
      </c>
      <c r="BK22" s="789">
        <f>SUM(BK11:BK20)</f>
        <v>0</v>
      </c>
      <c r="BL22" s="789">
        <f>SUM(BL11:BL20)</f>
        <v>0</v>
      </c>
      <c r="BM22" s="789">
        <f>SUM(BM11:BM20)</f>
        <v>0</v>
      </c>
      <c r="BN22" s="789">
        <f>SUM(BN11:BN20)</f>
        <v>0</v>
      </c>
      <c r="BO22" s="789">
        <f>SUM(BO11:BO20)</f>
        <v>0</v>
      </c>
      <c r="BP22" s="789">
        <f>SUM(BP11:BP20)</f>
        <v>0</v>
      </c>
      <c r="BQ22" s="789">
        <f>SUM(BQ11:BQ20)</f>
        <v>0</v>
      </c>
      <c r="BR22" s="789">
        <f>SUM(BR11:BR20)</f>
        <v>0</v>
      </c>
      <c r="BS22" s="789">
        <f>SUM(BS11:BS20)</f>
        <v>0</v>
      </c>
      <c r="BT22" s="789">
        <f>SUM(BT11:BT20)</f>
        <v>0</v>
      </c>
      <c r="BU22" s="789">
        <f>SUM(BU11:BU20)</f>
        <v>0</v>
      </c>
      <c r="BV22" s="789">
        <f>SUM(BV11:BV20)</f>
        <v>0</v>
      </c>
      <c r="BW22" s="789">
        <f>SUM(BW11:BW20)</f>
        <v>0</v>
      </c>
      <c r="BX22" s="789">
        <f>SUM(BX11:BX20)</f>
        <v>0</v>
      </c>
      <c r="BY22" s="789">
        <f>SUM(BY11:BY20)</f>
        <v>0</v>
      </c>
      <c r="BZ22" s="789">
        <f>SUM(BZ11:BZ20)</f>
        <v>0</v>
      </c>
    </row>
    <row r="23" s="58" customFormat="1" ht="18" customHeight="1" hidden="1">
      <c r="I23" s="489"/>
      <c r="AC23" s="532"/>
      <c r="AD23" s="108"/>
      <c r="AE23" s="56"/>
      <c r="AF23" s="62">
        <v>13</v>
      </c>
      <c r="AG23" s="759">
        <f>AG22*(1+'Social Rent'!$AO$23)</f>
        <v>0</v>
      </c>
      <c r="AH23" s="759"/>
      <c r="AI23" s="599">
        <f>(AG23+AH23)*(1/((1+$AG$8)^(AF23-0.5)))</f>
        <v>0</v>
      </c>
      <c r="AL23" t="s" s="90">
        <v>794</v>
      </c>
      <c r="AQ23" s="772"/>
      <c r="AR23" s="772"/>
      <c r="AS23" s="772"/>
      <c r="AT23" s="772"/>
      <c r="AU23" s="772"/>
      <c r="AV23" s="772"/>
      <c r="AW23" s="772"/>
      <c r="AX23" s="772"/>
      <c r="AY23" s="772"/>
      <c r="AZ23" s="772"/>
      <c r="BA23" s="772"/>
      <c r="BB23" s="772"/>
      <c r="BC23" s="772"/>
      <c r="BD23" s="772"/>
      <c r="BE23" s="772"/>
      <c r="BF23" s="772"/>
      <c r="BG23" s="772"/>
      <c r="BH23" s="772"/>
      <c r="BI23" s="772"/>
      <c r="BJ23" s="772"/>
      <c r="BK23" s="772"/>
      <c r="BL23" s="772"/>
      <c r="BM23" s="772"/>
      <c r="BN23" s="772"/>
      <c r="BO23" s="772"/>
      <c r="BP23" s="772"/>
      <c r="BQ23" s="772"/>
      <c r="BR23" s="772"/>
      <c r="BS23" s="772"/>
      <c r="BT23" s="772"/>
      <c r="BU23" s="772"/>
      <c r="BV23" s="772"/>
      <c r="BW23" s="772"/>
      <c r="BX23" s="772"/>
      <c r="BY23" s="772"/>
      <c r="BZ23" s="772"/>
    </row>
    <row r="24" s="58" customFormat="1" ht="18" customHeight="1" hidden="1">
      <c r="B24" s="557"/>
      <c r="F24" s="480"/>
      <c r="AC24" s="532"/>
      <c r="AD24" s="108"/>
      <c r="AE24" s="56"/>
      <c r="AF24" s="62">
        <v>14</v>
      </c>
      <c r="AG24" s="759">
        <f>AG23*(1+'Social Rent'!$AO$23)</f>
        <v>0</v>
      </c>
      <c r="AH24" s="759"/>
      <c r="AI24" s="599">
        <f>(AG24+AH24)*(1/((1+$AG$8)^(AF24-0.5)))</f>
        <v>0</v>
      </c>
      <c r="AL24" t="s" s="90">
        <v>797</v>
      </c>
      <c r="AQ24" s="772"/>
      <c r="AR24" s="772"/>
      <c r="AS24" s="772"/>
      <c r="AT24" s="772"/>
      <c r="AU24" s="772"/>
      <c r="AV24" s="772"/>
      <c r="AW24" s="772"/>
      <c r="AX24" s="772"/>
      <c r="AY24" s="772"/>
      <c r="AZ24" s="772"/>
      <c r="BA24" s="772"/>
      <c r="BB24" s="772"/>
      <c r="BC24" s="772"/>
      <c r="BD24" s="772"/>
      <c r="BE24" s="772"/>
      <c r="BF24" s="772"/>
      <c r="BG24" s="772"/>
      <c r="BH24" s="772"/>
      <c r="BI24" s="772"/>
      <c r="BJ24" s="772"/>
      <c r="BK24" s="772"/>
      <c r="BL24" s="772"/>
      <c r="BM24" s="772"/>
      <c r="BN24" s="772"/>
      <c r="BO24" s="772"/>
      <c r="BP24" s="772"/>
      <c r="BQ24" s="772"/>
      <c r="BR24" s="772"/>
      <c r="BS24" s="772"/>
      <c r="BT24" s="772"/>
      <c r="BU24" s="772"/>
      <c r="BV24" s="772"/>
      <c r="BW24" s="772"/>
      <c r="BX24" s="772"/>
      <c r="BY24" s="772"/>
      <c r="BZ24" s="772"/>
    </row>
    <row r="25" s="58" customFormat="1" ht="18" customHeight="1" hidden="1">
      <c r="B25" s="56"/>
      <c r="C25" s="56"/>
      <c r="AC25" s="532"/>
      <c r="AD25" s="108"/>
      <c r="AE25" s="56"/>
      <c r="AF25" s="62">
        <v>15</v>
      </c>
      <c r="AG25" s="759">
        <f>AG24*(1+'Social Rent'!$AO$23)</f>
        <v>0</v>
      </c>
      <c r="AH25" s="759"/>
      <c r="AI25" s="599">
        <f>(AG25+AH25)*(1/((1+$AG$8)^(AF25-0.5)))</f>
        <v>0</v>
      </c>
      <c r="AL25" t="s" s="90">
        <v>800</v>
      </c>
      <c r="AQ25" s="772"/>
      <c r="AR25" s="772"/>
      <c r="AS25" s="772"/>
      <c r="AT25" s="772"/>
      <c r="AU25" s="772"/>
      <c r="AV25" s="772"/>
      <c r="AW25" s="772"/>
      <c r="AX25" s="772"/>
      <c r="AY25" s="772"/>
      <c r="AZ25" s="772"/>
      <c r="BA25" s="772"/>
      <c r="BB25" s="772"/>
      <c r="BC25" s="772"/>
      <c r="BD25" s="772"/>
      <c r="BE25" s="772"/>
      <c r="BF25" s="772"/>
      <c r="BG25" s="772"/>
      <c r="BH25" s="772"/>
      <c r="BI25" s="772"/>
      <c r="BJ25" s="772"/>
      <c r="BK25" s="772"/>
      <c r="BL25" s="772"/>
      <c r="BM25" s="772"/>
      <c r="BN25" s="772"/>
      <c r="BO25" s="772"/>
      <c r="BP25" s="772"/>
      <c r="BQ25" s="772"/>
      <c r="BR25" s="772"/>
      <c r="BS25" s="772"/>
      <c r="BT25" s="772"/>
      <c r="BU25" s="772"/>
      <c r="BV25" s="772"/>
      <c r="BW25" s="772"/>
      <c r="BX25" s="772"/>
      <c r="BY25" s="772"/>
      <c r="BZ25" s="772"/>
    </row>
    <row r="26" s="58" customFormat="1" ht="18" customHeight="1" hidden="1">
      <c r="B26" s="56"/>
      <c r="C26" s="56"/>
      <c r="E26" s="600"/>
      <c r="G26" s="790"/>
      <c r="H26" s="790"/>
      <c r="I26" s="790"/>
      <c r="J26" s="790"/>
      <c r="AC26" s="532"/>
      <c r="AD26" s="108"/>
      <c r="AE26" s="56"/>
      <c r="AF26" s="62">
        <v>16</v>
      </c>
      <c r="AG26" s="759">
        <f>AG25*(1+'Social Rent'!$AO$23)</f>
        <v>0</v>
      </c>
      <c r="AH26" s="759"/>
      <c r="AI26" s="599">
        <f>(AG26+AH26)*(1/((1+$AG$8)^(AF26-0.5)))</f>
        <v>0</v>
      </c>
      <c r="AL26" t="s" s="90">
        <v>802</v>
      </c>
      <c r="AQ26" s="772"/>
      <c r="AR26" s="772"/>
      <c r="AS26" s="772"/>
      <c r="AT26" s="772"/>
      <c r="AU26" s="772"/>
      <c r="AV26" s="772"/>
      <c r="AW26" s="772"/>
      <c r="AX26" s="772"/>
      <c r="AY26" s="772"/>
      <c r="AZ26" s="772"/>
      <c r="BA26" s="772"/>
      <c r="BB26" s="772"/>
      <c r="BC26" s="772"/>
      <c r="BD26" s="772"/>
      <c r="BE26" s="772"/>
      <c r="BF26" s="772"/>
      <c r="BG26" s="772"/>
      <c r="BH26" s="772"/>
      <c r="BI26" s="772"/>
      <c r="BJ26" s="772"/>
      <c r="BK26" s="772"/>
      <c r="BL26" s="772"/>
      <c r="BM26" s="772"/>
      <c r="BN26" s="772"/>
      <c r="BO26" s="772"/>
      <c r="BP26" s="772"/>
      <c r="BQ26" s="772"/>
      <c r="BR26" s="772"/>
      <c r="BS26" s="772"/>
      <c r="BT26" s="772"/>
      <c r="BU26" s="772"/>
      <c r="BV26" s="772"/>
      <c r="BW26" s="772"/>
      <c r="BX26" s="772"/>
      <c r="BY26" s="772"/>
      <c r="BZ26" s="772"/>
    </row>
    <row r="27" s="58" customFormat="1" ht="18" customHeight="1" hidden="1">
      <c r="B27" s="580"/>
      <c r="C27" s="580"/>
      <c r="D27" s="56"/>
      <c r="E27" s="601"/>
      <c r="F27" s="791"/>
      <c r="G27" s="792"/>
      <c r="H27" s="790"/>
      <c r="I27" s="790"/>
      <c r="J27" s="790"/>
      <c r="AC27" s="532"/>
      <c r="AD27" s="108"/>
      <c r="AE27" s="56"/>
      <c r="AF27" s="62">
        <v>17</v>
      </c>
      <c r="AG27" s="759">
        <f>AG26*(1+'Social Rent'!$AO$23)</f>
        <v>0</v>
      </c>
      <c r="AH27" s="759"/>
      <c r="AI27" s="599">
        <f>(AG27+AH27)*(1/((1+$AG$8)^(AF27-0.5)))</f>
        <v>0</v>
      </c>
      <c r="AL27" t="s" s="90">
        <v>805</v>
      </c>
      <c r="AQ27" s="772"/>
      <c r="AR27" s="772"/>
      <c r="AS27" s="772"/>
      <c r="AT27" s="772"/>
      <c r="AU27" s="772"/>
      <c r="AV27" s="772"/>
      <c r="AW27" s="772"/>
      <c r="AX27" s="772"/>
      <c r="AY27" s="772"/>
      <c r="AZ27" s="772"/>
      <c r="BA27" s="772"/>
      <c r="BB27" s="772"/>
      <c r="BC27" s="772"/>
      <c r="BD27" s="772"/>
      <c r="BE27" s="772"/>
      <c r="BF27" s="772"/>
      <c r="BG27" s="772"/>
      <c r="BH27" s="772"/>
      <c r="BI27" s="772"/>
      <c r="BJ27" s="772"/>
      <c r="BK27" s="772"/>
      <c r="BL27" s="772"/>
      <c r="BM27" s="772"/>
      <c r="BN27" s="772"/>
      <c r="BO27" s="772"/>
      <c r="BP27" s="772"/>
      <c r="BQ27" s="772"/>
      <c r="BR27" s="772"/>
      <c r="BS27" s="772"/>
      <c r="BT27" s="772"/>
      <c r="BU27" s="772"/>
      <c r="BV27" s="772"/>
      <c r="BW27" s="772"/>
      <c r="BX27" s="772"/>
      <c r="BY27" s="772"/>
      <c r="BZ27" s="772"/>
    </row>
    <row r="28" s="58" customFormat="1" ht="18" customHeight="1" hidden="1">
      <c r="B28" s="583"/>
      <c r="C28" s="583"/>
      <c r="D28" s="56"/>
      <c r="E28" s="600"/>
      <c r="F28" s="793"/>
      <c r="G28" s="793"/>
      <c r="H28" s="790"/>
      <c r="I28" s="790"/>
      <c r="J28" s="790"/>
      <c r="AC28" s="532"/>
      <c r="AD28" s="108"/>
      <c r="AE28" s="56"/>
      <c r="AF28" s="62">
        <v>18</v>
      </c>
      <c r="AG28" s="759">
        <f>AG27*(1+'Social Rent'!$AO$23)</f>
        <v>0</v>
      </c>
      <c r="AH28" s="759"/>
      <c r="AI28" s="599">
        <f>(AG28+AH28)*(1/((1+$AG$8)^(AF28-0.5)))</f>
        <v>0</v>
      </c>
      <c r="AL28" t="s" s="90">
        <v>808</v>
      </c>
      <c r="AQ28" s="772"/>
      <c r="AR28" s="772"/>
      <c r="AS28" s="772"/>
      <c r="AT28" s="772"/>
      <c r="AU28" s="772"/>
      <c r="AV28" s="772"/>
      <c r="AW28" s="772"/>
      <c r="AX28" s="772"/>
      <c r="AY28" s="772"/>
      <c r="AZ28" s="772"/>
      <c r="BA28" s="772"/>
      <c r="BB28" s="772"/>
      <c r="BC28" s="772"/>
      <c r="BD28" s="772"/>
      <c r="BE28" s="772"/>
      <c r="BF28" s="772"/>
      <c r="BG28" s="772"/>
      <c r="BH28" s="772"/>
      <c r="BI28" s="772"/>
      <c r="BJ28" s="772"/>
      <c r="BK28" s="772"/>
      <c r="BL28" s="772"/>
      <c r="BM28" s="772"/>
      <c r="BN28" s="772"/>
      <c r="BO28" s="772"/>
      <c r="BP28" s="772"/>
      <c r="BQ28" s="772"/>
      <c r="BR28" s="772"/>
      <c r="BS28" s="772"/>
      <c r="BT28" s="772"/>
      <c r="BU28" s="772"/>
      <c r="BV28" s="772"/>
      <c r="BW28" s="772"/>
      <c r="BX28" s="772"/>
      <c r="BY28" s="772"/>
      <c r="BZ28" s="772"/>
    </row>
    <row r="29" s="58" customFormat="1" ht="18" customHeight="1" hidden="1">
      <c r="B29" s="583"/>
      <c r="C29" s="583"/>
      <c r="D29" s="56"/>
      <c r="E29" s="101"/>
      <c r="F29" s="101"/>
      <c r="G29" s="793"/>
      <c r="H29" s="793"/>
      <c r="I29" s="793"/>
      <c r="J29" s="793"/>
      <c r="AC29" s="532"/>
      <c r="AD29" s="108"/>
      <c r="AE29" s="56"/>
      <c r="AF29" s="62">
        <v>19</v>
      </c>
      <c r="AG29" s="759">
        <f>AG28*(1+'Social Rent'!$AO$23)</f>
        <v>0</v>
      </c>
      <c r="AH29" s="759"/>
      <c r="AI29" s="599">
        <f>(AG29+AH29)*(1/((1+$AG$8)^(AF29-0.5)))</f>
        <v>0</v>
      </c>
      <c r="AL29" t="s" s="90">
        <v>812</v>
      </c>
      <c r="AQ29" s="772"/>
      <c r="AR29" s="772"/>
      <c r="AS29" s="772"/>
      <c r="AT29" s="772"/>
      <c r="AU29" s="772"/>
      <c r="AV29" s="772"/>
      <c r="AW29" s="772"/>
      <c r="AX29" s="772"/>
      <c r="AY29" s="772"/>
      <c r="AZ29" s="772"/>
      <c r="BA29" s="772"/>
      <c r="BB29" s="772"/>
      <c r="BC29" s="772"/>
      <c r="BD29" s="772"/>
      <c r="BE29" s="772"/>
      <c r="BF29" s="772"/>
      <c r="BG29" s="772"/>
      <c r="BH29" s="772"/>
      <c r="BI29" s="772"/>
      <c r="BJ29" s="772"/>
      <c r="BK29" s="772"/>
      <c r="BL29" s="772"/>
      <c r="BM29" s="772"/>
      <c r="BN29" s="772"/>
      <c r="BO29" s="772"/>
      <c r="BP29" s="772"/>
      <c r="BQ29" s="772"/>
      <c r="BR29" s="772"/>
      <c r="BS29" s="772"/>
      <c r="BT29" s="772"/>
      <c r="BU29" s="772"/>
      <c r="BV29" s="772"/>
      <c r="BW29" s="772"/>
      <c r="BX29" s="772"/>
      <c r="BY29" s="772"/>
      <c r="BZ29" s="772"/>
    </row>
    <row r="30" s="58" customFormat="1" ht="18" customHeight="1" hidden="1">
      <c r="B30" s="56"/>
      <c r="C30" s="56"/>
      <c r="D30" s="56"/>
      <c r="E30" s="56"/>
      <c r="F30" s="56"/>
      <c r="G30" s="56"/>
      <c r="AC30" s="532"/>
      <c r="AD30" s="108"/>
      <c r="AE30" s="56"/>
      <c r="AF30" s="62">
        <v>20</v>
      </c>
      <c r="AG30" s="759">
        <f>AG29*(1+'Social Rent'!$AO$23)</f>
        <v>0</v>
      </c>
      <c r="AH30" s="759"/>
      <c r="AI30" s="599">
        <f>(AG30+AH30)*(1/((1+$AG$8)^(AF30-0.5)))</f>
        <v>0</v>
      </c>
      <c r="AL30" t="s" s="90">
        <v>813</v>
      </c>
      <c r="AQ30" s="772"/>
      <c r="AR30" s="772"/>
      <c r="AS30" s="772"/>
      <c r="AT30" s="772"/>
      <c r="AU30" s="772"/>
      <c r="AV30" s="772"/>
      <c r="AW30" s="772"/>
      <c r="AX30" s="772"/>
      <c r="AY30" s="772"/>
      <c r="AZ30" s="772"/>
      <c r="BA30" s="772"/>
      <c r="BB30" s="772"/>
      <c r="BC30" s="772"/>
      <c r="BD30" s="772"/>
      <c r="BE30" s="772"/>
      <c r="BF30" s="772"/>
      <c r="BG30" s="772"/>
      <c r="BH30" s="772"/>
      <c r="BI30" s="772"/>
      <c r="BJ30" s="772"/>
      <c r="BK30" s="772"/>
      <c r="BL30" s="772"/>
      <c r="BM30" s="772"/>
      <c r="BN30" s="772"/>
      <c r="BO30" s="772"/>
      <c r="BP30" s="772"/>
      <c r="BQ30" s="772"/>
      <c r="BR30" s="772"/>
      <c r="BS30" s="772"/>
      <c r="BT30" s="772"/>
      <c r="BU30" s="772"/>
      <c r="BV30" s="772"/>
      <c r="BW30" s="772"/>
      <c r="BX30" s="772"/>
      <c r="BY30" s="772"/>
      <c r="BZ30" s="772"/>
    </row>
    <row r="31" s="58" customFormat="1" ht="18" customHeight="1" hidden="1">
      <c r="B31" s="56"/>
      <c r="C31" s="56"/>
      <c r="D31" s="56"/>
      <c r="E31" s="56"/>
      <c r="F31" s="56"/>
      <c r="G31" s="56"/>
      <c r="AF31" s="62">
        <v>21</v>
      </c>
      <c r="AG31" s="759">
        <f>AG30*(1+'Social Rent'!$AO$23)</f>
        <v>0</v>
      </c>
      <c r="AH31" s="759"/>
      <c r="AI31" s="599">
        <f>(AG31+AH31)*(1/((1+$AG$8)^(AF31-0.5)))</f>
        <v>0</v>
      </c>
      <c r="AL31" t="s" s="90">
        <v>816</v>
      </c>
    </row>
    <row r="32" s="58" customFormat="1" ht="18" customHeight="1" hidden="1">
      <c r="B32" s="56"/>
      <c r="C32" s="56"/>
      <c r="D32" s="56"/>
      <c r="E32" s="56"/>
      <c r="F32" s="56"/>
      <c r="G32" s="56"/>
      <c r="AF32" s="62">
        <v>22</v>
      </c>
      <c r="AG32" s="759">
        <f>AG31*(1+'Social Rent'!$AO$23)</f>
        <v>0</v>
      </c>
      <c r="AH32" s="759"/>
      <c r="AI32" s="599">
        <f>(AG32+AH32)*(1/((1+$AG$8)^(AF32-0.5)))</f>
        <v>0</v>
      </c>
      <c r="AL32" t="s" s="90">
        <v>820</v>
      </c>
      <c r="AQ32" s="772"/>
    </row>
    <row r="33" s="58" customFormat="1" ht="18" customHeight="1" hidden="1">
      <c r="B33" s="56"/>
      <c r="C33" s="56"/>
      <c r="D33" s="56"/>
      <c r="E33" s="56"/>
      <c r="F33" s="56"/>
      <c r="G33" s="56"/>
      <c r="AF33" s="62">
        <v>23</v>
      </c>
      <c r="AG33" s="759">
        <f>AG32*(1+'Social Rent'!$AO$23)</f>
        <v>0</v>
      </c>
      <c r="AH33" s="759"/>
      <c r="AI33" s="599">
        <f>(AG33+AH33)*(1/((1+$AG$8)^(AF33-0.5)))</f>
        <v>0</v>
      </c>
      <c r="AL33" t="s" s="90">
        <v>823</v>
      </c>
      <c r="AQ33" s="772"/>
    </row>
    <row r="34" s="58" customFormat="1" ht="18" customHeight="1" hidden="1">
      <c r="B34" s="56"/>
      <c r="C34" s="56"/>
      <c r="D34" s="56"/>
      <c r="E34" s="256"/>
      <c r="F34" s="256"/>
      <c r="G34" s="56"/>
      <c r="AF34" s="62">
        <v>24</v>
      </c>
      <c r="AG34" s="759">
        <f>AG33*(1+'Social Rent'!$AO$23)</f>
        <v>0</v>
      </c>
      <c r="AH34" s="759"/>
      <c r="AI34" s="599">
        <f>(AG34+AH34)*(1/((1+$AG$8)^(AF34-0.5)))</f>
        <v>0</v>
      </c>
      <c r="AL34" t="s" s="90">
        <v>825</v>
      </c>
    </row>
    <row r="35" s="58" customFormat="1" ht="18" customHeight="1" hidden="1">
      <c r="B35" s="56"/>
      <c r="C35" s="56"/>
      <c r="D35" s="56"/>
      <c r="E35" s="56"/>
      <c r="F35" s="56"/>
      <c r="G35" s="56"/>
      <c r="H35" s="489"/>
      <c r="AF35" s="62">
        <v>25</v>
      </c>
      <c r="AG35" s="759">
        <f>AG34*(1+'Social Rent'!$AO$23)</f>
        <v>0</v>
      </c>
      <c r="AH35" s="759"/>
      <c r="AI35" s="599">
        <f>(AG35+AH35)*(1/((1+$AG$8)^(AF35-0.5)))</f>
        <v>0</v>
      </c>
      <c r="AL35" t="s" s="90">
        <v>830</v>
      </c>
    </row>
    <row r="36" s="58" customFormat="1" ht="18" customHeight="1" hidden="1">
      <c r="B36" s="56"/>
      <c r="C36" s="489"/>
      <c r="D36" s="56"/>
      <c r="E36" s="489"/>
      <c r="F36" s="489"/>
      <c r="G36" s="56"/>
      <c r="AF36" s="62">
        <v>26</v>
      </c>
      <c r="AG36" s="759">
        <f>AG35*(1+'Social Rent'!$AO$23)</f>
        <v>0</v>
      </c>
      <c r="AH36" s="759"/>
      <c r="AI36" s="599">
        <f>(AG36+AH36)*(1/((1+$AG$8)^(AF36-0.5)))</f>
        <v>0</v>
      </c>
      <c r="AL36" t="s" s="90">
        <v>831</v>
      </c>
    </row>
    <row r="37" s="58" customFormat="1" ht="18" customHeight="1" hidden="1">
      <c r="B37" s="56"/>
      <c r="C37" s="489"/>
      <c r="D37" s="56"/>
      <c r="E37" s="489"/>
      <c r="F37" s="489"/>
      <c r="G37" s="56"/>
      <c r="AF37" s="62">
        <v>27</v>
      </c>
      <c r="AG37" s="759">
        <f>AG36*(1+'Social Rent'!$AO$23)</f>
        <v>0</v>
      </c>
      <c r="AH37" s="759"/>
      <c r="AI37" s="599">
        <f>(AG37+AH37)*(1/((1+$AG$8)^(AF37-0.5)))</f>
        <v>0</v>
      </c>
      <c r="AL37" t="s" s="90">
        <v>834</v>
      </c>
    </row>
    <row r="38" s="58" customFormat="1" ht="18" customHeight="1" hidden="1">
      <c r="B38" s="56"/>
      <c r="C38" s="237"/>
      <c r="D38" s="237"/>
      <c r="E38" s="237"/>
      <c r="F38" s="237"/>
      <c r="G38" s="237"/>
      <c r="H38" s="237"/>
      <c r="I38" s="237"/>
      <c r="J38" s="237"/>
      <c r="K38" s="237"/>
      <c r="L38" s="237"/>
      <c r="M38" s="237"/>
      <c r="N38" s="237"/>
      <c r="O38" s="237"/>
      <c r="P38" s="237"/>
      <c r="AF38" s="62">
        <v>28</v>
      </c>
      <c r="AG38" s="759">
        <f>AG37*(1+'Social Rent'!$AO$23)</f>
        <v>0</v>
      </c>
      <c r="AH38" s="759"/>
      <c r="AI38" s="599">
        <f>(AG38+AH38)*(1/((1+$AG$8)^(AF38-0.5)))</f>
        <v>0</v>
      </c>
      <c r="AL38" t="s" s="90">
        <v>837</v>
      </c>
    </row>
    <row r="39" s="58" customFormat="1" ht="18" customHeight="1" hidden="1">
      <c r="B39" s="56"/>
      <c r="C39" s="237"/>
      <c r="D39" s="237"/>
      <c r="E39" s="237"/>
      <c r="F39" s="237"/>
      <c r="G39" s="237"/>
      <c r="H39" s="237"/>
      <c r="I39" s="237"/>
      <c r="J39" s="237"/>
      <c r="K39" s="237"/>
      <c r="L39" s="237"/>
      <c r="M39" s="237"/>
      <c r="N39" s="237"/>
      <c r="O39" s="237"/>
      <c r="P39" s="237"/>
      <c r="AF39" s="62">
        <v>29</v>
      </c>
      <c r="AG39" s="759">
        <f>AG38*(1+'Social Rent'!$AO$23)</f>
        <v>0</v>
      </c>
      <c r="AH39" s="759"/>
      <c r="AI39" s="599">
        <f>(AG39+AH39)*(1/((1+$AG$8)^(AF39-0.5)))</f>
        <v>0</v>
      </c>
      <c r="AL39" t="s" s="90">
        <v>839</v>
      </c>
    </row>
    <row r="40" s="58" customFormat="1" ht="18" customHeight="1" hidden="1">
      <c r="B40" s="56"/>
      <c r="C40" s="237"/>
      <c r="D40" s="237"/>
      <c r="E40" s="237"/>
      <c r="F40" s="237"/>
      <c r="G40" s="237"/>
      <c r="H40" s="237"/>
      <c r="I40" s="237"/>
      <c r="J40" s="237"/>
      <c r="K40" s="237"/>
      <c r="L40" s="237"/>
      <c r="M40" s="237"/>
      <c r="N40" s="237"/>
      <c r="O40" s="237"/>
      <c r="P40" s="237"/>
      <c r="AF40" s="62">
        <v>30</v>
      </c>
      <c r="AG40" s="759">
        <f>AG39*(1+'Social Rent'!$AO$23)</f>
        <v>0</v>
      </c>
      <c r="AH40" s="759"/>
      <c r="AI40" s="599">
        <f>(AG40+AH40)*(1/((1+$AG$8)^(AF40-0.5)))</f>
        <v>0</v>
      </c>
      <c r="AL40" t="s" s="90">
        <v>841</v>
      </c>
    </row>
    <row r="41" s="58" customFormat="1" ht="18" customHeight="1" hidden="1">
      <c r="C41" s="56"/>
      <c r="D41" s="56"/>
      <c r="E41" s="56"/>
      <c r="F41" s="56"/>
      <c r="G41" s="62"/>
      <c r="H41" s="62"/>
      <c r="I41" s="62"/>
      <c r="J41" s="62"/>
      <c r="K41" s="62"/>
      <c r="L41" s="62"/>
      <c r="M41" s="62"/>
      <c r="N41" s="62"/>
      <c r="O41" s="62"/>
      <c r="P41" s="62"/>
      <c r="AF41" s="62">
        <v>31</v>
      </c>
      <c r="AG41" s="759">
        <f>AG40*(1+'Social Rent'!$AO$23)</f>
        <v>0</v>
      </c>
      <c r="AH41" s="759">
        <f>SUM(AH16:AH40)</f>
        <v>0</v>
      </c>
      <c r="AI41" s="599">
        <f>(AG41+AH41)*(1/((1+$AG$8)^(AF41-0.5)))</f>
        <v>0</v>
      </c>
      <c r="AL41" t="s" s="90">
        <v>843</v>
      </c>
    </row>
    <row r="42" s="58" customFormat="1" ht="18" customHeight="1" hidden="1">
      <c r="C42" s="794"/>
      <c r="D42" s="794"/>
      <c r="E42" s="794"/>
      <c r="F42" s="794"/>
      <c r="G42" s="794"/>
      <c r="H42" s="794"/>
      <c r="I42" s="794"/>
      <c r="J42" s="794"/>
      <c r="K42" s="794"/>
      <c r="L42" s="794"/>
      <c r="M42" s="794"/>
      <c r="N42" s="794"/>
      <c r="O42" s="794"/>
      <c r="P42" s="794"/>
      <c r="AF42" s="62">
        <v>32</v>
      </c>
      <c r="AG42" s="759">
        <f>AG41*(1+'Social Rent'!$AO$23)</f>
        <v>0</v>
      </c>
      <c r="AI42" s="599">
        <f>(AG42+AH42)*(1/((1+$AG$8)^(AF42-0.5)))</f>
        <v>0</v>
      </c>
      <c r="AL42" t="s" s="90">
        <v>844</v>
      </c>
    </row>
    <row r="43" s="58" customFormat="1" ht="18" customHeight="1" hidden="1">
      <c r="C43" s="794"/>
      <c r="D43" s="794"/>
      <c r="E43" s="794"/>
      <c r="F43" s="794"/>
      <c r="G43" s="794"/>
      <c r="H43" s="794"/>
      <c r="I43" s="794"/>
      <c r="J43" s="794"/>
      <c r="K43" s="794"/>
      <c r="L43" s="794"/>
      <c r="M43" s="794"/>
      <c r="N43" s="794"/>
      <c r="O43" s="794"/>
      <c r="P43" s="794"/>
      <c r="AF43" s="62">
        <v>33</v>
      </c>
      <c r="AG43" s="759">
        <f>AG42*(1+'Social Rent'!$AO$23)</f>
        <v>0</v>
      </c>
      <c r="AH43" s="620"/>
      <c r="AI43" s="599">
        <f>(AG43+AH43)*(1/((1+$AG$8)^(AF43-0.5)))</f>
        <v>0</v>
      </c>
      <c r="AL43" t="s" s="90">
        <v>846</v>
      </c>
    </row>
    <row r="44" s="58" customFormat="1" ht="18" customHeight="1" hidden="1">
      <c r="C44" s="794"/>
      <c r="D44" s="794"/>
      <c r="E44" s="794"/>
      <c r="F44" s="794"/>
      <c r="G44" s="794"/>
      <c r="H44" s="794"/>
      <c r="I44" s="794"/>
      <c r="J44" s="794"/>
      <c r="K44" s="794"/>
      <c r="L44" s="794"/>
      <c r="M44" s="794"/>
      <c r="N44" s="794"/>
      <c r="O44" s="794"/>
      <c r="P44" s="794"/>
      <c r="AF44" s="62">
        <v>34</v>
      </c>
      <c r="AG44" s="759">
        <f>AG43*(1+'Social Rent'!$AO$23)</f>
        <v>0</v>
      </c>
      <c r="AI44" s="599">
        <f>(AG44+AH44)*(1/((1+$AG$8)^(AF44-0.5)))</f>
        <v>0</v>
      </c>
      <c r="AL44" t="s" s="90">
        <v>847</v>
      </c>
    </row>
    <row r="45" s="58" customFormat="1" ht="18" customHeight="1" hidden="1">
      <c r="C45" s="794"/>
      <c r="D45" s="794"/>
      <c r="E45" s="794"/>
      <c r="F45" s="794"/>
      <c r="G45" s="794"/>
      <c r="H45" s="794"/>
      <c r="I45" s="794"/>
      <c r="J45" s="794"/>
      <c r="K45" s="794"/>
      <c r="L45" s="794"/>
      <c r="M45" s="794"/>
      <c r="N45" s="794"/>
      <c r="O45" s="794"/>
      <c r="P45" s="794"/>
      <c r="AF45" s="62">
        <v>35</v>
      </c>
      <c r="AG45" s="759">
        <f>AG44*(1+'Social Rent'!$AO$23)</f>
        <v>0</v>
      </c>
      <c r="AI45" s="599">
        <f>(AG45+AH45)*(1/((1+$AG$8)^(AF45-0.5)))</f>
        <v>0</v>
      </c>
      <c r="AL45" t="s" s="90">
        <v>848</v>
      </c>
    </row>
    <row r="46" s="58" customFormat="1" ht="18" customHeight="1" hidden="1">
      <c r="C46" s="794"/>
      <c r="D46" s="794"/>
      <c r="E46" s="794"/>
      <c r="F46" s="794"/>
      <c r="G46" s="794"/>
      <c r="H46" s="794"/>
      <c r="I46" s="794"/>
      <c r="J46" s="794"/>
      <c r="K46" s="794"/>
      <c r="L46" s="794"/>
      <c r="M46" s="794"/>
      <c r="N46" s="794"/>
      <c r="O46" s="794"/>
      <c r="P46" s="794"/>
      <c r="AF46" s="62">
        <v>36</v>
      </c>
      <c r="AG46" s="759">
        <f>AG45*(1+'Social Rent'!$AO$23)</f>
        <v>0</v>
      </c>
      <c r="AI46" s="599">
        <f>(AG46+AH46)*(1/((1+$AG$8)^(AF46-0.5)))</f>
        <v>0</v>
      </c>
      <c r="AL46" t="s" s="90">
        <v>850</v>
      </c>
    </row>
    <row r="47" s="58" customFormat="1" ht="18" customHeight="1" hidden="1">
      <c r="C47" s="794"/>
      <c r="D47" s="794"/>
      <c r="E47" s="794"/>
      <c r="F47" s="794"/>
      <c r="G47" s="794"/>
      <c r="H47" s="794"/>
      <c r="I47" s="794"/>
      <c r="J47" s="794"/>
      <c r="K47" s="794"/>
      <c r="L47" s="794"/>
      <c r="M47" s="794"/>
      <c r="N47" s="794"/>
      <c r="O47" s="794"/>
      <c r="P47" s="794"/>
      <c r="AF47" s="62">
        <v>37</v>
      </c>
      <c r="AG47" s="759">
        <f>AG46*(1+'Social Rent'!$AO$23)</f>
        <v>0</v>
      </c>
      <c r="AI47" s="599">
        <f>(AG47+AH47)*(1/((1+$AG$8)^(AF47-0.5)))</f>
        <v>0</v>
      </c>
      <c r="AL47" t="s" s="90">
        <v>852</v>
      </c>
    </row>
    <row r="48" s="58" customFormat="1" ht="18" customHeight="1" hidden="1">
      <c r="C48" s="759"/>
      <c r="D48" s="759"/>
      <c r="E48" s="759"/>
      <c r="F48" s="759"/>
      <c r="G48" s="759"/>
      <c r="H48" s="759"/>
      <c r="I48" s="759"/>
      <c r="J48" s="759"/>
      <c r="K48" s="759"/>
      <c r="L48" s="759"/>
      <c r="M48" s="759"/>
      <c r="N48" s="759"/>
      <c r="O48" s="759"/>
      <c r="P48" s="759"/>
      <c r="Q48" s="237"/>
      <c r="R48" s="237"/>
      <c r="S48" s="237"/>
      <c r="T48" s="237"/>
      <c r="U48" s="237"/>
      <c r="V48" s="237"/>
      <c r="W48" s="237"/>
      <c r="X48" s="237"/>
      <c r="Y48" s="237"/>
      <c r="Z48" s="237"/>
      <c r="AA48" s="237"/>
      <c r="AB48" s="237"/>
      <c r="AC48" s="237"/>
      <c r="AF48" s="62">
        <v>38</v>
      </c>
      <c r="AG48" s="759">
        <f>AG47*(1+'Social Rent'!$AO$23)</f>
        <v>0</v>
      </c>
      <c r="AI48" s="599">
        <f>(AG48+AH48)*(1/((1+$AG$8)^(AF48-0.5)))</f>
        <v>0</v>
      </c>
      <c r="AL48" t="s" s="90">
        <v>853</v>
      </c>
    </row>
    <row r="49" s="58" customFormat="1" ht="18" customHeight="1" hidden="1">
      <c r="C49" s="794"/>
      <c r="D49" s="794"/>
      <c r="E49" s="794"/>
      <c r="F49" s="795"/>
      <c r="G49" s="794"/>
      <c r="H49" s="794"/>
      <c r="I49" s="794"/>
      <c r="J49" s="794"/>
      <c r="K49" s="794"/>
      <c r="L49" s="794"/>
      <c r="M49" s="794"/>
      <c r="N49" s="794"/>
      <c r="O49" s="794"/>
      <c r="P49" s="794"/>
      <c r="Q49" s="237"/>
      <c r="R49" s="237"/>
      <c r="S49" s="237"/>
      <c r="T49" s="237"/>
      <c r="U49" s="237"/>
      <c r="V49" s="237"/>
      <c r="W49" s="237"/>
      <c r="X49" s="237"/>
      <c r="Y49" s="237"/>
      <c r="Z49" s="237"/>
      <c r="AA49" s="237"/>
      <c r="AB49" s="237"/>
      <c r="AC49" s="237"/>
      <c r="AF49" s="62">
        <v>39</v>
      </c>
      <c r="AG49" s="759">
        <f>AG48*(1+'Social Rent'!$AO$23)</f>
        <v>0</v>
      </c>
      <c r="AI49" s="599">
        <f>(AG49+AH49)*(1/((1+$AG$8)^(AF49-0.5)))</f>
        <v>0</v>
      </c>
      <c r="AL49" t="s" s="90">
        <v>854</v>
      </c>
    </row>
    <row r="50" s="58" customFormat="1" ht="18" customHeight="1" hidden="1">
      <c r="C50" s="56"/>
      <c r="D50" s="56"/>
      <c r="E50" s="56"/>
      <c r="F50" s="56"/>
      <c r="G50" s="794"/>
      <c r="H50" s="794"/>
      <c r="I50" s="794"/>
      <c r="J50" s="794"/>
      <c r="K50" s="794"/>
      <c r="L50" s="794"/>
      <c r="M50" s="794"/>
      <c r="N50" s="794"/>
      <c r="O50" s="794"/>
      <c r="P50" s="794"/>
      <c r="Q50" s="237"/>
      <c r="R50" s="237"/>
      <c r="S50" s="237"/>
      <c r="T50" s="237"/>
      <c r="U50" s="237"/>
      <c r="V50" s="237"/>
      <c r="W50" s="237"/>
      <c r="X50" s="237"/>
      <c r="Y50" s="237"/>
      <c r="Z50" s="237"/>
      <c r="AA50" s="237"/>
      <c r="AB50" s="237"/>
      <c r="AC50" s="237"/>
      <c r="AF50" s="62">
        <v>40</v>
      </c>
      <c r="AG50" s="759">
        <f>AG49*(1+'Social Rent'!$AO$23)</f>
        <v>0</v>
      </c>
      <c r="AI50" s="599">
        <f>(AG50+AH50)*(1/((1+$AG$8)^(AF50-0.5)))</f>
        <v>0</v>
      </c>
      <c r="AL50" t="s" s="90">
        <v>855</v>
      </c>
    </row>
    <row r="51" s="58" customFormat="1" ht="18" customHeight="1" hidden="1">
      <c r="F51" s="620"/>
      <c r="G51" s="794"/>
      <c r="H51" s="794"/>
      <c r="I51" s="794"/>
      <c r="J51" s="794"/>
      <c r="K51" s="794"/>
      <c r="L51" s="794"/>
      <c r="M51" s="794"/>
      <c r="N51" s="794"/>
      <c r="O51" s="794"/>
      <c r="P51" s="794"/>
      <c r="Q51" s="62"/>
      <c r="R51" s="62"/>
      <c r="S51" s="62"/>
      <c r="T51" s="62"/>
      <c r="U51" s="62"/>
      <c r="V51" s="62"/>
      <c r="W51" s="62"/>
      <c r="X51" s="62"/>
      <c r="Y51" s="62"/>
      <c r="Z51" s="62"/>
      <c r="AA51" s="62"/>
      <c r="AB51" s="62"/>
      <c r="AC51" s="62"/>
      <c r="AF51" s="62">
        <v>41</v>
      </c>
      <c r="AG51" s="759">
        <f>AG50*(1+'Social Rent'!$AO$23)</f>
        <v>0</v>
      </c>
      <c r="AI51" s="599">
        <f>(AG51+AH51)*(1/((1+$AG$8)^(AF51-0.5)))</f>
        <v>0</v>
      </c>
      <c r="AL51" t="s" s="90">
        <v>857</v>
      </c>
    </row>
    <row r="52" s="58" customFormat="1" ht="18" customHeight="1" hidden="1">
      <c r="Q52" s="794"/>
      <c r="R52" s="794"/>
      <c r="S52" s="794"/>
      <c r="T52" s="794"/>
      <c r="U52" s="794"/>
      <c r="V52" s="794"/>
      <c r="W52" s="794"/>
      <c r="X52" s="794"/>
      <c r="Y52" s="794"/>
      <c r="Z52" s="794"/>
      <c r="AA52" s="794"/>
      <c r="AB52" s="794"/>
      <c r="AC52" s="794"/>
      <c r="AF52" s="62">
        <v>42</v>
      </c>
      <c r="AG52" s="759">
        <f>AG51*(1+'Social Rent'!$AO$23)</f>
        <v>0</v>
      </c>
      <c r="AI52" s="599">
        <f>(AG52+AH52)*(1/((1+$AG$8)^(AF52-0.5)))</f>
        <v>0</v>
      </c>
      <c r="AL52" s="536"/>
    </row>
    <row r="53" s="58" customFormat="1" ht="18" customHeight="1" hidden="1">
      <c r="F53" s="620"/>
      <c r="G53" s="796"/>
      <c r="H53" s="796"/>
      <c r="I53" s="796"/>
      <c r="J53" s="796"/>
      <c r="K53" s="796"/>
      <c r="L53" s="796"/>
      <c r="M53" s="796"/>
      <c r="N53" s="796"/>
      <c r="O53" s="796"/>
      <c r="P53" s="796"/>
      <c r="Q53" s="794"/>
      <c r="R53" s="794"/>
      <c r="S53" s="794"/>
      <c r="T53" s="794"/>
      <c r="U53" s="794"/>
      <c r="V53" s="794"/>
      <c r="W53" s="794"/>
      <c r="X53" s="794"/>
      <c r="Y53" s="794"/>
      <c r="Z53" s="794"/>
      <c r="AA53" s="794"/>
      <c r="AB53" s="794"/>
      <c r="AC53" s="794"/>
      <c r="AF53" s="62">
        <v>43</v>
      </c>
      <c r="AG53" s="759">
        <f>AG52*(1+'Social Rent'!$AO$23)</f>
        <v>0</v>
      </c>
      <c r="AI53" s="599">
        <f>(AG53+AH53)*(1/((1+$AG$8)^(AF53-0.5)))</f>
        <v>0</v>
      </c>
    </row>
    <row r="54" s="58" customFormat="1" ht="18" customHeight="1" hidden="1">
      <c r="Q54" s="794"/>
      <c r="R54" s="794"/>
      <c r="S54" s="794"/>
      <c r="T54" s="794"/>
      <c r="U54" s="794"/>
      <c r="V54" s="794"/>
      <c r="W54" s="794"/>
      <c r="X54" s="794"/>
      <c r="Y54" s="794"/>
      <c r="Z54" s="794"/>
      <c r="AA54" s="794"/>
      <c r="AB54" s="794"/>
      <c r="AC54" s="794"/>
      <c r="AF54" s="62">
        <v>44</v>
      </c>
      <c r="AG54" s="759">
        <f>AG53*(1+'Social Rent'!$AO$23)</f>
        <v>0</v>
      </c>
      <c r="AI54" s="599">
        <f>(AG54+AH54)*(1/((1+$AG$8)^(AF54-0.5)))</f>
        <v>0</v>
      </c>
    </row>
    <row r="55" s="58" customFormat="1" ht="18" customHeight="1" hidden="1">
      <c r="F55" s="620"/>
      <c r="G55" s="796"/>
      <c r="H55" s="796"/>
      <c r="I55" s="796"/>
      <c r="J55" s="796"/>
      <c r="K55" s="796"/>
      <c r="L55" s="796"/>
      <c r="M55" s="796"/>
      <c r="N55" s="796"/>
      <c r="O55" s="796"/>
      <c r="P55" s="796"/>
      <c r="Q55" s="794"/>
      <c r="R55" s="794"/>
      <c r="S55" s="794"/>
      <c r="T55" s="794"/>
      <c r="U55" s="794"/>
      <c r="V55" s="794"/>
      <c r="W55" s="794"/>
      <c r="X55" s="794"/>
      <c r="Y55" s="794"/>
      <c r="Z55" s="794"/>
      <c r="AA55" s="794"/>
      <c r="AB55" s="794"/>
      <c r="AC55" s="794"/>
      <c r="AF55" s="62">
        <v>45</v>
      </c>
      <c r="AG55" s="759">
        <f>AG54*(1+'Social Rent'!$AO$23)</f>
        <v>0</v>
      </c>
      <c r="AI55" s="599">
        <f>(AG55+AH55)*(1/((1+$AG$8)^(AF55-0.5)))</f>
        <v>0</v>
      </c>
    </row>
    <row r="56" s="58" customFormat="1" ht="18" customHeight="1" hidden="1">
      <c r="Q56" s="794"/>
      <c r="R56" s="794"/>
      <c r="S56" s="794"/>
      <c r="T56" s="794"/>
      <c r="U56" s="794"/>
      <c r="V56" s="794"/>
      <c r="W56" s="794"/>
      <c r="X56" s="794"/>
      <c r="Y56" s="794"/>
      <c r="Z56" s="794"/>
      <c r="AA56" s="794"/>
      <c r="AB56" s="794"/>
      <c r="AC56" s="794"/>
      <c r="AF56" s="62">
        <v>46</v>
      </c>
      <c r="AG56" s="759">
        <f>AG55*(1+'Social Rent'!$AO$23)</f>
        <v>0</v>
      </c>
      <c r="AI56" s="599">
        <f>(AG56+AH56)*(1/((1+$AG$8)^(AF56-0.5)))</f>
        <v>0</v>
      </c>
    </row>
    <row r="57" s="58" customFormat="1" ht="18" customHeight="1" hidden="1">
      <c r="G57" s="796"/>
      <c r="H57" s="796"/>
      <c r="I57" s="796"/>
      <c r="J57" s="796"/>
      <c r="K57" s="796"/>
      <c r="L57" s="796"/>
      <c r="M57" s="796"/>
      <c r="N57" s="796"/>
      <c r="O57" s="796"/>
      <c r="P57" s="796"/>
      <c r="Q57" s="794"/>
      <c r="R57" s="794"/>
      <c r="S57" s="794"/>
      <c r="T57" s="794"/>
      <c r="U57" s="794"/>
      <c r="V57" s="794"/>
      <c r="W57" s="794"/>
      <c r="X57" s="794"/>
      <c r="Y57" s="794"/>
      <c r="Z57" s="794"/>
      <c r="AA57" s="794"/>
      <c r="AB57" s="794"/>
      <c r="AC57" s="794"/>
      <c r="AF57" s="62">
        <v>47</v>
      </c>
      <c r="AG57" s="759">
        <f>AG56*(1+'Social Rent'!$AO$23)</f>
        <v>0</v>
      </c>
      <c r="AI57" s="599">
        <f>(AG57+AH57)*(1/((1+$AG$8)^(AF57-0.5)))</f>
        <v>0</v>
      </c>
    </row>
    <row r="58" s="58" customFormat="1" ht="18" customHeight="1" hidden="1">
      <c r="E58" s="620"/>
      <c r="F58" s="113"/>
      <c r="Q58" s="759"/>
      <c r="R58" s="759"/>
      <c r="S58" s="759"/>
      <c r="T58" s="759"/>
      <c r="U58" s="759"/>
      <c r="V58" s="759"/>
      <c r="W58" s="759"/>
      <c r="X58" s="759"/>
      <c r="Y58" s="759"/>
      <c r="Z58" s="759"/>
      <c r="AA58" s="759"/>
      <c r="AB58" s="759"/>
      <c r="AC58" s="759"/>
      <c r="AF58" s="62">
        <v>48</v>
      </c>
      <c r="AG58" s="759">
        <f>AG57*(1+'Social Rent'!$AO$23)</f>
        <v>0</v>
      </c>
      <c r="AI58" s="599">
        <f>(AG58+AH58)*(1/((1+$AG$8)^(AF58-0.5)))</f>
        <v>0</v>
      </c>
    </row>
    <row r="59" s="58" customFormat="1" ht="18" customHeight="1" hidden="1">
      <c r="Q59" s="794"/>
      <c r="R59" s="794"/>
      <c r="S59" s="794"/>
      <c r="T59" s="794"/>
      <c r="U59" s="794"/>
      <c r="V59" s="794"/>
      <c r="W59" s="794"/>
      <c r="X59" s="794"/>
      <c r="Y59" s="794"/>
      <c r="Z59" s="794"/>
      <c r="AA59" s="794"/>
      <c r="AB59" s="794"/>
      <c r="AC59" s="794"/>
      <c r="AF59" s="62">
        <v>49</v>
      </c>
      <c r="AG59" s="759">
        <f>AG58*(1+'Social Rent'!$AO$23)</f>
        <v>0</v>
      </c>
      <c r="AI59" s="599">
        <f>(AG59+AH59)*(1/((1+$AG$8)^(AF59-0.5)))</f>
        <v>0</v>
      </c>
    </row>
    <row r="60" s="58" customFormat="1" ht="18" customHeight="1" hidden="1">
      <c r="F60" s="620"/>
      <c r="G60" s="796"/>
      <c r="H60" s="796"/>
      <c r="I60" s="796"/>
      <c r="J60" s="796"/>
      <c r="K60" s="796"/>
      <c r="L60" s="796"/>
      <c r="M60" s="796"/>
      <c r="N60" s="796"/>
      <c r="O60" s="796"/>
      <c r="P60" s="796"/>
      <c r="Q60" s="794"/>
      <c r="R60" s="794"/>
      <c r="S60" s="794"/>
      <c r="T60" s="794"/>
      <c r="U60" s="794"/>
      <c r="V60" s="794"/>
      <c r="W60" s="794"/>
      <c r="X60" s="794"/>
      <c r="Y60" s="794"/>
      <c r="Z60" s="794"/>
      <c r="AA60" s="794"/>
      <c r="AB60" s="794"/>
      <c r="AC60" s="794"/>
      <c r="AF60" s="62">
        <v>50</v>
      </c>
      <c r="AG60" s="759">
        <f>AG59*(1+'Social Rent'!$AO$23)</f>
        <v>0</v>
      </c>
      <c r="AI60" s="599">
        <f>(AG60+AH60)*(1/((1+$AG$8)^(AF60-0.5)))</f>
        <v>0</v>
      </c>
    </row>
    <row r="61" s="58" customFormat="1" ht="18" customHeight="1" hidden="1">
      <c r="Q61" s="794"/>
      <c r="R61" s="794"/>
      <c r="S61" s="794"/>
      <c r="T61" s="794"/>
      <c r="U61" s="794"/>
      <c r="V61" s="794"/>
      <c r="W61" s="794"/>
      <c r="X61" s="794"/>
      <c r="Y61" s="794"/>
      <c r="Z61" s="794"/>
      <c r="AA61" s="794"/>
      <c r="AB61" s="794"/>
      <c r="AC61" s="794"/>
      <c r="AG61" s="759"/>
      <c r="AI61" s="599"/>
    </row>
    <row r="62" s="58" customFormat="1" ht="18" customHeight="1" hidden="1">
      <c r="AG62" s="759">
        <f>SUM(AG16:AG60)</f>
        <v>0</v>
      </c>
      <c r="AI62" s="598">
        <f>IF(C21=0,0,SUM(AI11:AI60))</f>
        <v>0</v>
      </c>
    </row>
    <row r="63" s="58" customFormat="1" ht="12.75" customHeight="1" hidden="1">
      <c r="Q63" s="796"/>
      <c r="R63" s="796"/>
      <c r="S63" s="796"/>
      <c r="T63" s="796"/>
      <c r="U63" s="796"/>
      <c r="V63" s="796"/>
      <c r="W63" s="796"/>
      <c r="X63" s="796"/>
      <c r="Y63" s="796"/>
      <c r="Z63" s="796"/>
      <c r="AA63" s="796"/>
      <c r="AB63" s="796"/>
      <c r="AC63" s="796"/>
    </row>
    <row r="64" s="58" customFormat="1" ht="12.75" customHeight="1" hidden="1">
      <c r="AG64" t="s" s="797">
        <v>192</v>
      </c>
    </row>
    <row r="65" s="58" customFormat="1" ht="12.75" customHeight="1" hidden="1">
      <c r="Q65" s="796"/>
      <c r="R65" s="796"/>
      <c r="S65" s="796"/>
      <c r="T65" s="796"/>
      <c r="U65" s="796"/>
      <c r="V65" s="796"/>
      <c r="W65" s="796"/>
      <c r="X65" s="796"/>
      <c r="Y65" s="796"/>
      <c r="Z65" s="796"/>
      <c r="AA65" s="796"/>
      <c r="AB65" s="796"/>
      <c r="AC65" s="796"/>
    </row>
    <row r="67" s="58" customFormat="1" ht="12.75" customHeight="1" hidden="1">
      <c r="Q67" s="796"/>
      <c r="R67" s="796"/>
      <c r="S67" s="796"/>
      <c r="T67" s="796"/>
      <c r="U67" s="796"/>
      <c r="V67" s="796"/>
      <c r="W67" s="796"/>
      <c r="X67" s="796"/>
      <c r="Y67" s="796"/>
      <c r="Z67" s="796"/>
      <c r="AA67" s="796"/>
      <c r="AB67" s="796"/>
      <c r="AC67" s="796"/>
    </row>
    <row r="70" s="58" customFormat="1" ht="12.75" customHeight="1" hidden="1">
      <c r="Q70" s="796"/>
      <c r="R70" s="796"/>
      <c r="S70" s="796"/>
      <c r="T70" s="796"/>
      <c r="U70" s="796"/>
      <c r="V70" s="796"/>
      <c r="W70" s="796"/>
      <c r="X70" s="796"/>
      <c r="Y70" s="796"/>
      <c r="Z70" s="796"/>
      <c r="AA70" s="796"/>
      <c r="AB70" s="796"/>
      <c r="AC70" s="796"/>
    </row>
    <row r="395" s="58" customFormat="1" ht="12.75" customHeight="1" hidden="1">
      <c r="A395" s="193"/>
    </row>
    <row r="400" s="58" customFormat="1" ht="12.75" customHeight="1" hidden="1">
      <c r="A400" s="190">
        <v>43563</v>
      </c>
    </row>
    <row r="402" s="58" customFormat="1" ht="12.75" customHeight="1" hidden="1">
      <c r="A402" s="798"/>
    </row>
  </sheetData>
  <mergeCells count="3">
    <mergeCell ref="E34:F34"/>
    <mergeCell ref="B27:C27"/>
    <mergeCell ref="B3:C3"/>
  </mergeCells>
  <pageMargins left="0.75" right="0.75" top="1" bottom="1" header="0.5" footer="0.5"/>
  <pageSetup firstPageNumber="1" fitToHeight="1" fitToWidth="1" scale="100" useFirstPageNumber="0" orientation="landscape" pageOrder="downThenOver"/>
  <headerFooter>
    <oddFooter>&amp;L&amp;"Helvetica,Regular"&amp;12&amp;K000000	&amp;P</oddFooter>
  </headerFooter>
</worksheet>
</file>

<file path=xl/worksheets/sheet15.xml><?xml version="1.0" encoding="utf-8"?>
<worksheet xmlns:r="http://schemas.openxmlformats.org/officeDocument/2006/relationships" xmlns="http://schemas.openxmlformats.org/spreadsheetml/2006/main">
  <sheetPr>
    <pageSetUpPr fitToPage="1"/>
  </sheetPr>
  <sheetViews>
    <sheetView workbookViewId="0" showGridLines="0" defaultGridColor="1"/>
  </sheetViews>
  <sheetFormatPr defaultColWidth="10" defaultRowHeight="13" customHeight="1" outlineLevelRow="0" outlineLevelCol="0"/>
  <cols>
    <col min="1" max="256" width="10" customWidth="1"/>
  </cols>
  <sheetData/>
  <pageMargins left="0.75" right="0.75" top="1" bottom="1" header="0.5" footer="0.5"/>
  <pageSetup firstPageNumber="1" fitToHeight="1" fitToWidth="1" scale="100" useFirstPageNumber="0" orientation="landscape" pageOrder="downThenOver"/>
  <headerFooter>
    <oddFooter>&amp;L&amp;"Helvetica,Regular"&amp;12&amp;K000000	&amp;P</oddFooter>
  </headerFooter>
  <drawing r:id="rId1"/>
  <legacyDrawing r:id="rId2"/>
</worksheet>
</file>

<file path=xl/worksheets/sheet16.xml><?xml version="1.0" encoding="utf-8"?>
<worksheet xmlns:r="http://schemas.openxmlformats.org/officeDocument/2006/relationships" xmlns="http://schemas.openxmlformats.org/spreadsheetml/2006/main">
  <dimension ref="A1:CR403"/>
  <sheetViews>
    <sheetView workbookViewId="0" defaultGridColor="0" colorId="16"/>
  </sheetViews>
  <sheetFormatPr defaultColWidth="6.625" defaultRowHeight="12.75" customHeight="1" outlineLevelRow="0" outlineLevelCol="0"/>
  <cols>
    <col min="1" max="1" width="3.75" style="6" customWidth="1"/>
    <col min="2" max="2" width="11.625" style="6" customWidth="1"/>
    <col min="3" max="3" width="13.5" style="6" customWidth="1"/>
    <col min="4" max="4" width="15.375" style="6" customWidth="1"/>
    <col min="5" max="5" width="15.625" style="6" customWidth="1"/>
    <col min="6" max="6" width="10.75" style="6" customWidth="1"/>
    <col min="7" max="7" width="12.375" style="6" customWidth="1"/>
    <col min="8" max="8" width="16.5" style="6" customWidth="1"/>
    <col min="9" max="9" width="13.25" style="6" customWidth="1"/>
    <col min="10" max="10" width="13.5" style="6" customWidth="1"/>
    <col min="11" max="11" width="6.875" style="6" customWidth="1"/>
    <col min="12" max="12" hidden="1" width="6.625" style="6" customWidth="1"/>
    <col min="13" max="13" hidden="1" width="6.625" style="6" customWidth="1"/>
    <col min="14" max="14" hidden="1" width="6.625" style="6" customWidth="1"/>
    <col min="15" max="15" hidden="1" width="6.625" style="6" customWidth="1"/>
    <col min="16" max="16" hidden="1" width="6.625" style="6" customWidth="1"/>
    <col min="17" max="17" hidden="1" width="6.625" style="6" customWidth="1"/>
    <col min="18" max="18" hidden="1" width="6.625" style="6" customWidth="1"/>
    <col min="19" max="19" hidden="1" width="6.625" style="6" customWidth="1"/>
    <col min="20" max="20" hidden="1" width="6.625" style="6" customWidth="1"/>
    <col min="21" max="21" hidden="1" width="6.625" style="6" customWidth="1"/>
    <col min="22" max="22" hidden="1" width="6.625" style="6" customWidth="1"/>
    <col min="23" max="23" hidden="1" width="6.625" style="6" customWidth="1"/>
    <col min="24" max="24" hidden="1" width="6.625" style="6" customWidth="1"/>
    <col min="25" max="25" hidden="1" width="6.625" style="6" customWidth="1"/>
    <col min="26" max="26" hidden="1" width="6.625" style="6" customWidth="1"/>
    <col min="27" max="27" hidden="1" width="6.625" style="6" customWidth="1"/>
    <col min="28" max="28" hidden="1" width="6.625" style="6" customWidth="1"/>
    <col min="29" max="29" hidden="1" width="6.625" style="6" customWidth="1"/>
    <col min="30" max="30" hidden="1" width="6.625" style="6" customWidth="1"/>
    <col min="31" max="31" hidden="1" width="6.625" style="6" customWidth="1"/>
    <col min="32" max="32" hidden="1" width="6.625" style="6" customWidth="1"/>
    <col min="33" max="33" hidden="1" width="6.625" style="6" customWidth="1"/>
    <col min="34" max="34" hidden="1" width="6.625" style="6" customWidth="1"/>
    <col min="35" max="35" hidden="1" width="6.625" style="6" customWidth="1"/>
    <col min="36" max="36" hidden="1" width="6.625" style="6" customWidth="1"/>
    <col min="37" max="37" hidden="1" width="6.625" style="6" customWidth="1"/>
    <col min="38" max="38" hidden="1" width="6.625" style="6" customWidth="1"/>
    <col min="39" max="39" width="12.25" style="6" customWidth="1"/>
    <col min="40" max="40" width="12.375" style="6" customWidth="1"/>
    <col min="41" max="41" hidden="1" width="6.625" style="6" customWidth="1"/>
    <col min="42" max="42" hidden="1" width="6.625" style="6" customWidth="1"/>
    <col min="43" max="43" hidden="1" width="6.625" style="6" customWidth="1"/>
    <col min="44" max="44" hidden="1" width="6.625" style="6" customWidth="1"/>
    <col min="45" max="45" hidden="1" width="6.625" style="6" customWidth="1"/>
    <col min="46" max="46" hidden="1" width="6.625" style="6" customWidth="1"/>
    <col min="47" max="47" hidden="1" width="6.625" style="6" customWidth="1"/>
    <col min="48" max="48" hidden="1" width="6.625" style="6" customWidth="1"/>
    <col min="49" max="49" hidden="1" width="6.625" style="6" customWidth="1"/>
    <col min="50" max="50" hidden="1" width="6.625" style="6" customWidth="1"/>
    <col min="51" max="51" hidden="1" width="6.625" style="6" customWidth="1"/>
    <col min="52" max="52" hidden="1" width="6.625" style="6" customWidth="1"/>
    <col min="53" max="53" hidden="1" width="6.625" style="6" customWidth="1"/>
    <col min="54" max="54" hidden="1" width="6.625" style="6" customWidth="1"/>
    <col min="55" max="55" hidden="1" width="6.625" style="6" customWidth="1"/>
    <col min="56" max="56" hidden="1" width="6.625" style="6" customWidth="1"/>
    <col min="57" max="57" hidden="1" width="6.625" style="6" customWidth="1"/>
    <col min="58" max="58" hidden="1" width="6.625" style="6" customWidth="1"/>
    <col min="59" max="59" hidden="1" width="6.625" style="6" customWidth="1"/>
    <col min="60" max="60" hidden="1" width="6.625" style="6" customWidth="1"/>
    <col min="61" max="61" hidden="1" width="6.625" style="6" customWidth="1"/>
    <col min="62" max="62" hidden="1" width="6.625" style="6" customWidth="1"/>
    <col min="63" max="63" hidden="1" width="6.625" style="6" customWidth="1"/>
    <col min="64" max="64" hidden="1" width="6.625" style="6" customWidth="1"/>
    <col min="65" max="65" hidden="1" width="6.625" style="6" customWidth="1"/>
    <col min="66" max="66" hidden="1" width="6.625" style="6" customWidth="1"/>
    <col min="67" max="67" hidden="1" width="6.625" style="6" customWidth="1"/>
    <col min="68" max="68" hidden="1" width="6.625" style="6" customWidth="1"/>
    <col min="69" max="69" hidden="1" width="6.625" style="6" customWidth="1"/>
    <col min="70" max="70" hidden="1" width="6.625" style="6" customWidth="1"/>
    <col min="71" max="71" hidden="1" width="6.625" style="6" customWidth="1"/>
    <col min="72" max="72" hidden="1" width="6.625" style="6" customWidth="1"/>
    <col min="73" max="73" hidden="1" width="6.625" style="6" customWidth="1"/>
    <col min="74" max="74" hidden="1" width="6.625" style="6" customWidth="1"/>
    <col min="75" max="75" hidden="1" width="6.625" style="6" customWidth="1"/>
    <col min="76" max="76" hidden="1" width="6.625" style="6" customWidth="1"/>
    <col min="77" max="77" hidden="1" width="6.625" style="6" customWidth="1"/>
    <col min="78" max="78" hidden="1" width="6.625" style="6" customWidth="1"/>
    <col min="79" max="79" hidden="1" width="6.625" style="6" customWidth="1"/>
    <col min="80" max="80" hidden="1" width="6.625" style="6" customWidth="1"/>
    <col min="81" max="81" hidden="1" width="6.625" style="6" customWidth="1"/>
    <col min="82" max="82" hidden="1" width="6.625" style="6" customWidth="1"/>
    <col min="83" max="83" hidden="1" width="6.625" style="6" customWidth="1"/>
    <col min="84" max="84" hidden="1" width="6.625" style="6" customWidth="1"/>
    <col min="85" max="85" hidden="1" width="6.625" style="6" customWidth="1"/>
    <col min="86" max="86" hidden="1" width="6.625" style="6" customWidth="1"/>
    <col min="87" max="87" hidden="1" width="6.625" style="6" customWidth="1"/>
    <col min="88" max="88" hidden="1" width="6.625" style="6" customWidth="1"/>
    <col min="89" max="89" hidden="1" width="6.625" style="6" customWidth="1"/>
    <col min="90" max="90" hidden="1" width="6.625" style="6" customWidth="1"/>
    <col min="91" max="91" hidden="1" width="6.625" style="6" customWidth="1"/>
    <col min="92" max="92" hidden="1" width="6.625" style="6" customWidth="1"/>
    <col min="93" max="93" hidden="1" width="6.625" style="6" customWidth="1"/>
    <col min="94" max="94" hidden="1" width="6.625" style="6" customWidth="1"/>
    <col min="95" max="95" hidden="1" width="6.625" style="6" customWidth="1"/>
    <col min="96" max="96" hidden="1" width="6.625" style="6" customWidth="1"/>
    <col min="97" max="256" width="6.625" style="799" customWidth="1"/>
  </cols>
  <sheetData>
    <row r="1" s="58" customFormat="1" ht="23.25" customHeight="1">
      <c r="B1" t="s" s="475">
        <v>930</v>
      </c>
      <c r="H1" s="48"/>
      <c r="I1" s="10"/>
      <c r="X1" s="800"/>
    </row>
    <row r="2" s="58" customFormat="1" ht="23.25" customHeight="1">
      <c r="B2" s="479"/>
      <c r="F2" s="25"/>
      <c r="H2" s="56"/>
      <c r="I2" s="12"/>
      <c r="X2" s="480"/>
    </row>
    <row r="3" s="58" customFormat="1" ht="15.75" customHeight="1">
      <c r="B3" t="s" s="59">
        <v>56</v>
      </c>
      <c r="C3" s="61"/>
      <c r="F3" s="10"/>
      <c r="H3" s="56"/>
      <c r="I3" s="56"/>
      <c r="X3" s="480"/>
    </row>
    <row r="4" s="58" customFormat="1" ht="15" customHeight="1">
      <c r="B4" t="s" s="484">
        <v>58</v>
      </c>
      <c r="C4" s="485"/>
      <c r="F4" s="486"/>
      <c r="H4" s="67"/>
      <c r="I4" s="56"/>
      <c r="X4" s="480"/>
    </row>
    <row r="5" s="58" customFormat="1" ht="15" customHeight="1">
      <c r="B5" t="s" s="487">
        <v>570</v>
      </c>
      <c r="C5" s="488"/>
      <c r="X5" s="480"/>
    </row>
    <row r="6" s="58" customFormat="1" ht="15" customHeight="1">
      <c r="B6" t="s" s="74">
        <v>734</v>
      </c>
      <c r="C6" s="492"/>
      <c r="E6" s="77"/>
      <c r="X6" s="480"/>
    </row>
    <row r="8" s="58" customFormat="1" ht="54.75" customHeight="1">
      <c r="B8" t="s" s="495">
        <v>735</v>
      </c>
      <c r="C8" t="s" s="495">
        <v>736</v>
      </c>
      <c r="D8" t="s" s="495">
        <v>737</v>
      </c>
      <c r="E8" t="s" s="495">
        <v>738</v>
      </c>
      <c r="F8" t="s" s="495">
        <v>739</v>
      </c>
      <c r="G8" t="s" s="495">
        <v>740</v>
      </c>
      <c r="H8" t="s" s="495">
        <v>742</v>
      </c>
      <c r="I8" t="s" s="495">
        <v>744</v>
      </c>
      <c r="J8" t="s" s="495">
        <v>745</v>
      </c>
      <c r="U8" s="801"/>
      <c r="V8" s="762"/>
      <c r="W8" t="s" s="496">
        <v>748</v>
      </c>
      <c r="X8" s="507"/>
      <c r="AE8" s="502"/>
      <c r="AF8" s="107"/>
      <c r="AG8" s="503"/>
      <c r="AH8" s="107"/>
      <c r="AI8" s="107"/>
      <c r="AJ8" s="107"/>
      <c r="AK8" s="107"/>
      <c r="AL8" s="107"/>
      <c r="AM8" s="107"/>
      <c r="AN8" s="504"/>
    </row>
    <row r="9" s="58" customFormat="1" ht="23.25" customHeight="1">
      <c r="B9" s="505"/>
      <c r="C9" s="505"/>
      <c r="D9" s="505"/>
      <c r="E9" s="505"/>
      <c r="F9" s="505"/>
      <c r="G9" t="s" s="506">
        <v>753</v>
      </c>
      <c r="H9" t="s" s="506">
        <v>754</v>
      </c>
      <c r="I9" s="506">
        <f>'Project Information'!H16</f>
        <v>0</v>
      </c>
      <c r="J9" s="505"/>
      <c r="X9" s="507"/>
      <c r="AC9" t="s" s="511">
        <v>758</v>
      </c>
      <c r="AE9" s="512"/>
      <c r="AF9" t="s" s="513">
        <v>903</v>
      </c>
      <c r="AG9" s="514"/>
      <c r="AH9" s="514"/>
      <c r="AI9" s="514"/>
      <c r="AJ9" s="514"/>
      <c r="AK9" s="514"/>
      <c r="AL9" s="514"/>
      <c r="AM9" s="514"/>
      <c r="AN9" s="515"/>
    </row>
    <row r="10" s="58" customFormat="1" ht="23.25" customHeight="1">
      <c r="B10" t="s" s="517">
        <v>78</v>
      </c>
      <c r="C10" t="s" s="517">
        <v>78</v>
      </c>
      <c r="D10" s="518"/>
      <c r="E10" s="518"/>
      <c r="F10" s="518"/>
      <c r="G10" t="s" s="517">
        <v>78</v>
      </c>
      <c r="H10" t="s" s="517">
        <v>78</v>
      </c>
      <c r="I10" t="s" s="517">
        <v>78</v>
      </c>
      <c r="J10" s="519"/>
      <c r="X10" s="507"/>
      <c r="AC10" s="523"/>
      <c r="AE10" s="512"/>
      <c r="AF10" s="524"/>
      <c r="AG10" s="514"/>
      <c r="AH10" s="514"/>
      <c r="AI10" s="514"/>
      <c r="AJ10" s="514"/>
      <c r="AK10" s="514"/>
      <c r="AL10" s="514"/>
      <c r="AM10" s="514"/>
      <c r="AN10" s="515"/>
    </row>
    <row r="11" s="58" customFormat="1" ht="18" customHeight="1">
      <c r="B11" s="526"/>
      <c r="C11" s="526"/>
      <c r="D11" t="s" s="527">
        <f>LEFT(B11,1)</f>
      </c>
      <c r="E11" s="527">
        <f>IF(C11="",0,(IF(LEN(B11)=5,MID(B11,3,1),MID(B11,3,2))))</f>
        <v>0</v>
      </c>
      <c r="F11" s="527">
        <f>IF(W11="H","House",IF(W11="B","Bungalow",IF(W11="F","Flat",IF(W11="S","Shared",IF(W11="T","Bedsit",IF(W11="A","Wheelchair Flat",IF(W11="W","Wheelchair",0)))))))</f>
        <v>0</v>
      </c>
      <c r="G11" s="526"/>
      <c r="H11" s="528"/>
      <c r="I11" s="528"/>
      <c r="J11" s="771">
        <f>I11*C11*52</f>
        <v>0</v>
      </c>
      <c r="U11" s="532"/>
      <c r="V11" s="108"/>
      <c r="W11" t="s" s="62">
        <f>RIGHT(B11,1)</f>
      </c>
      <c r="X11" s="63"/>
      <c r="AC11" t="s" s="90">
        <v>908</v>
      </c>
      <c r="AE11" s="512"/>
      <c r="AF11" s="537"/>
      <c r="AG11" s="514"/>
      <c r="AH11" s="514"/>
      <c r="AI11" s="514"/>
      <c r="AJ11" s="514"/>
      <c r="AK11" s="514"/>
      <c r="AL11" s="514"/>
      <c r="AM11" s="514"/>
      <c r="AN11" s="515"/>
    </row>
    <row r="12" s="58" customFormat="1" ht="18" customHeight="1">
      <c r="B12" s="539"/>
      <c r="C12" s="539"/>
      <c r="D12" t="s" s="540">
        <f>LEFT(B12,1)</f>
      </c>
      <c r="E12" s="540">
        <f>IF(C12="",0,(IF(LEN(B12)=5,MID(B12,3,1),MID(B12,3,2))))</f>
        <v>0</v>
      </c>
      <c r="F12" s="540">
        <f>IF(W12="H","House",IF(W12="B","Bungalow",IF(W12="F","Flat",IF(W12="S","Shared",IF(W12="T","Bedsit",IF(W12="A","Wheelchair Flat",IF(W12="W","Wheelchair",0)))))))</f>
        <v>0</v>
      </c>
      <c r="G12" s="539"/>
      <c r="H12" s="541"/>
      <c r="I12" s="541"/>
      <c r="J12" s="776">
        <f>I12*C12*52</f>
        <v>0</v>
      </c>
      <c r="U12" s="532"/>
      <c r="V12" s="108"/>
      <c r="W12" t="s" s="62">
        <f>RIGHT(B12,1)</f>
      </c>
      <c r="X12" s="63"/>
      <c r="AC12" t="s" s="90">
        <v>762</v>
      </c>
      <c r="AE12" s="512"/>
      <c r="AF12" s="546"/>
      <c r="AG12" s="514"/>
      <c r="AH12" s="514"/>
      <c r="AI12" s="514"/>
      <c r="AJ12" s="514"/>
      <c r="AK12" s="514"/>
      <c r="AL12" s="514"/>
      <c r="AM12" s="514"/>
      <c r="AN12" s="515"/>
    </row>
    <row r="13" s="58" customFormat="1" ht="18" customHeight="1">
      <c r="B13" s="539"/>
      <c r="C13" s="539"/>
      <c r="D13" t="s" s="540">
        <f>LEFT(B13,1)</f>
      </c>
      <c r="E13" s="540">
        <f>IF(C13="",0,(IF(LEN(B13)=5,MID(B13,3,1),MID(B13,3,2))))</f>
        <v>0</v>
      </c>
      <c r="F13" s="540">
        <f>IF(W13="H","House",IF(W13="B","Bungalow",IF(W13="F","Flat",IF(W13="S","Shared",IF(W13="T","Bedsit",IF(W13="A","Wheelchair Flat",IF(W13="W","Wheelchair",0)))))))</f>
        <v>0</v>
      </c>
      <c r="G13" s="539"/>
      <c r="H13" s="541"/>
      <c r="I13" s="802"/>
      <c r="J13" s="776">
        <f>I13*C13*52</f>
        <v>0</v>
      </c>
      <c r="U13" s="532"/>
      <c r="V13" s="108"/>
      <c r="W13" t="s" s="62">
        <f>RIGHT(B13,1)</f>
      </c>
      <c r="X13" s="63"/>
      <c r="AC13" t="s" s="90">
        <v>764</v>
      </c>
      <c r="AE13" s="512"/>
      <c r="AF13" s="537"/>
      <c r="AG13" s="514"/>
      <c r="AH13" s="514"/>
      <c r="AI13" s="514"/>
      <c r="AJ13" s="514"/>
      <c r="AK13" s="514"/>
      <c r="AL13" s="514"/>
      <c r="AM13" s="514"/>
      <c r="AN13" s="515"/>
    </row>
    <row r="14" s="58" customFormat="1" ht="18" customHeight="1">
      <c r="B14" s="539"/>
      <c r="C14" s="539"/>
      <c r="D14" t="s" s="540">
        <f>LEFT(B14,1)</f>
      </c>
      <c r="E14" s="540">
        <f>IF(C14="",0,(IF(LEN(B14)=5,MID(B14,3,1),MID(B14,3,2))))</f>
        <v>0</v>
      </c>
      <c r="F14" s="540">
        <f>IF(W14="H","House",IF(W14="B","Bungalow",IF(W14="F","Flat",IF(W14="S","Shared",IF(W14="T","Bedsit",IF(W14="A","Wheelchair Flat",IF(W14="W","Wheelchair",0)))))))</f>
        <v>0</v>
      </c>
      <c r="G14" s="539"/>
      <c r="H14" s="541"/>
      <c r="I14" s="802"/>
      <c r="J14" s="776">
        <f>I14*C14*52</f>
        <v>0</v>
      </c>
      <c r="U14" s="532"/>
      <c r="V14" s="108"/>
      <c r="W14" t="s" s="62">
        <f>RIGHT(B14,1)</f>
      </c>
      <c r="X14" s="63"/>
      <c r="AC14" t="s" s="90">
        <v>766</v>
      </c>
      <c r="AE14" s="512"/>
      <c r="AF14" s="548"/>
      <c r="AG14" s="514"/>
      <c r="AH14" s="514"/>
      <c r="AI14" s="549"/>
      <c r="AJ14" s="550"/>
      <c r="AK14" s="548"/>
      <c r="AL14" s="548"/>
      <c r="AM14" s="548"/>
      <c r="AN14" s="551"/>
    </row>
    <row r="15" s="58" customFormat="1" ht="18" customHeight="1">
      <c r="B15" s="539"/>
      <c r="C15" s="539"/>
      <c r="D15" t="s" s="540">
        <f>LEFT(B15,1)</f>
      </c>
      <c r="E15" s="540">
        <f>IF(C15="",0,(IF(LEN(B15)=5,MID(B15,3,1),MID(B15,3,2))))</f>
        <v>0</v>
      </c>
      <c r="F15" s="540">
        <f>IF(W15="H","House",IF(W15="B","Bungalow",IF(W15="F","Flat",IF(W15="S","Shared",IF(W15="T","Bedsit",IF(W15="A","Wheelchair Flat",IF(W15="W","Wheelchair",0)))))))</f>
        <v>0</v>
      </c>
      <c r="G15" s="539"/>
      <c r="H15" s="541"/>
      <c r="I15" s="802"/>
      <c r="J15" s="776">
        <f>I15*C15*52</f>
        <v>0</v>
      </c>
      <c r="U15" s="532"/>
      <c r="V15" s="108"/>
      <c r="W15" t="s" s="62">
        <f>RIGHT(B15,1)</f>
      </c>
      <c r="X15" s="63"/>
      <c r="AC15" t="s" s="90">
        <v>767</v>
      </c>
      <c r="AE15" s="512"/>
      <c r="AF15" s="548"/>
      <c r="AG15" s="514"/>
      <c r="AH15" s="514"/>
      <c r="AI15" s="549"/>
      <c r="AJ15" s="514"/>
      <c r="AK15" s="537"/>
      <c r="AL15" s="552"/>
      <c r="AM15" s="553"/>
      <c r="AN15" s="515"/>
    </row>
    <row r="16" s="58" customFormat="1" ht="18" customHeight="1">
      <c r="B16" s="539"/>
      <c r="C16" s="539"/>
      <c r="D16" t="s" s="540">
        <f>LEFT(B16,1)</f>
      </c>
      <c r="E16" s="540">
        <f>IF(C16="",0,(IF(LEN(B16)=5,MID(B16,3,1),MID(B16,3,2))))</f>
        <v>0</v>
      </c>
      <c r="F16" s="540">
        <f>IF(W16="H","House",IF(W16="B","Bungalow",IF(W16="F","Flat",IF(W16="S","Shared",IF(W16="T","Bedsit",IF(W16="A","Wheelchair Flat",IF(W16="W","Wheelchair",0)))))))</f>
        <v>0</v>
      </c>
      <c r="G16" s="539"/>
      <c r="H16" s="541"/>
      <c r="I16" s="802"/>
      <c r="J16" s="776">
        <f>I16*C16*52</f>
        <v>0</v>
      </c>
      <c r="U16" s="532"/>
      <c r="V16" s="108"/>
      <c r="W16" t="s" s="62">
        <f>RIGHT(B16,1)</f>
      </c>
      <c r="X16" s="63"/>
      <c r="AC16" t="s" s="90">
        <v>769</v>
      </c>
      <c r="AE16" s="512"/>
      <c r="AF16" t="s" s="554">
        <v>770</v>
      </c>
      <c r="AG16" s="514"/>
      <c r="AH16" s="514"/>
      <c r="AI16" s="555">
        <f>'Project Information'!H34</f>
        <v>0.004</v>
      </c>
      <c r="AJ16" s="514"/>
      <c r="AK16" s="537"/>
      <c r="AL16" s="552"/>
      <c r="AM16" s="553"/>
      <c r="AN16" s="556"/>
    </row>
    <row r="17" s="58" customFormat="1" ht="18" customHeight="1">
      <c r="B17" s="539"/>
      <c r="C17" s="539"/>
      <c r="D17" t="s" s="540">
        <f>LEFT(B17,1)</f>
      </c>
      <c r="E17" s="540">
        <f>IF(C17="",0,(IF(LEN(B17)=5,MID(B17,3,1),MID(B17,3,2))))</f>
        <v>0</v>
      </c>
      <c r="F17" s="540">
        <f>IF(W17="H","House",IF(W17="B","Bungalow",IF(W17="F","Flat",IF(W17="S","Shared",IF(W17="T","Bedsit",IF(W17="A","Wheelchair Flat",IF(W17="W","Wheelchair",0)))))))</f>
        <v>0</v>
      </c>
      <c r="G17" s="539"/>
      <c r="H17" s="541"/>
      <c r="I17" s="802"/>
      <c r="J17" s="776">
        <f>I17*C17*52</f>
        <v>0</v>
      </c>
      <c r="U17" s="532"/>
      <c r="V17" s="108"/>
      <c r="W17" t="s" s="62">
        <f>RIGHT(B17,1)</f>
      </c>
      <c r="X17" s="63"/>
      <c r="AC17" t="s" s="90">
        <v>772</v>
      </c>
      <c r="AE17" s="512"/>
      <c r="AF17" t="s" s="554">
        <v>773</v>
      </c>
      <c r="AG17" s="514"/>
      <c r="AH17" s="514"/>
      <c r="AI17" s="557">
        <f>C21</f>
        <v>0</v>
      </c>
      <c r="AJ17" s="514"/>
      <c r="AK17" s="537"/>
      <c r="AL17" s="552"/>
      <c r="AM17" s="553"/>
      <c r="AN17" s="515"/>
    </row>
    <row r="18" s="58" customFormat="1" ht="18" customHeight="1">
      <c r="B18" s="539"/>
      <c r="C18" s="539"/>
      <c r="D18" t="s" s="540">
        <f>LEFT(B18,1)</f>
      </c>
      <c r="E18" s="540">
        <f>IF(C18="",0,(IF(LEN(B18)=5,MID(B18,3,1),MID(B18,3,2))))</f>
        <v>0</v>
      </c>
      <c r="F18" s="540">
        <f>IF(W18="H","House",IF(W18="B","Bungalow",IF(W18="F","Flat",IF(W18="S","Shared",IF(W18="T","Bedsit",IF(W18="A","Wheelchair Flat",IF(W18="W","Wheelchair",0)))))))</f>
        <v>0</v>
      </c>
      <c r="G18" s="539"/>
      <c r="H18" s="541"/>
      <c r="I18" s="802"/>
      <c r="J18" s="776">
        <f>I18*C18*52</f>
        <v>0</v>
      </c>
      <c r="U18" s="532"/>
      <c r="V18" s="108"/>
      <c r="W18" t="s" s="62">
        <f>RIGHT(B18,1)</f>
      </c>
      <c r="X18" s="63"/>
      <c r="AC18" t="s" s="90">
        <v>775</v>
      </c>
      <c r="AE18" s="512"/>
      <c r="AF18" t="s" s="554">
        <v>776</v>
      </c>
      <c r="AG18" s="514"/>
      <c r="AH18" s="514"/>
      <c r="AI18" s="558">
        <f>I21</f>
      </c>
      <c r="AJ18" s="514"/>
      <c r="AK18" s="537"/>
      <c r="AL18" s="552"/>
      <c r="AM18" s="553"/>
      <c r="AN18" s="515"/>
    </row>
    <row r="19" s="58" customFormat="1" ht="18" customHeight="1">
      <c r="B19" s="539"/>
      <c r="C19" s="539"/>
      <c r="D19" t="s" s="540">
        <f>LEFT(B19,1)</f>
      </c>
      <c r="E19" s="540">
        <f>IF(C19="",0,(IF(LEN(B19)=5,MID(B19,3,1),MID(B19,3,2))))</f>
        <v>0</v>
      </c>
      <c r="F19" s="540">
        <f>IF(W19="H","House",IF(W19="B","Bungalow",IF(W19="F","Flat",IF(W19="S","Shared",IF(W19="T","Bedsit",IF(W19="A","Wheelchair Flat",IF(W19="W","Wheelchair",0)))))))</f>
        <v>0</v>
      </c>
      <c r="G19" s="539"/>
      <c r="H19" s="541"/>
      <c r="I19" s="802"/>
      <c r="J19" s="776">
        <f>I19*C19*52</f>
        <v>0</v>
      </c>
      <c r="U19" s="532"/>
      <c r="V19" s="108"/>
      <c r="W19" t="s" s="62">
        <f>RIGHT(B19,1)</f>
      </c>
      <c r="X19" s="63"/>
      <c r="AC19" t="s" s="90">
        <v>779</v>
      </c>
      <c r="AE19" s="512"/>
      <c r="AF19" t="s" s="554">
        <v>780</v>
      </c>
      <c r="AG19" s="514"/>
      <c r="AH19" s="514"/>
      <c r="AI19" s="559">
        <f>'Social Rent'!AO19</f>
        <v>0.02</v>
      </c>
      <c r="AJ19" s="514"/>
      <c r="AK19" s="537"/>
      <c r="AL19" s="552"/>
      <c r="AM19" s="553"/>
      <c r="AN19" s="515"/>
    </row>
    <row r="20" s="58" customFormat="1" ht="18" customHeight="1">
      <c r="B20" s="539"/>
      <c r="C20" s="560"/>
      <c r="D20" t="s" s="781">
        <f>LEFT(B20,1)</f>
      </c>
      <c r="E20" s="561">
        <f>IF(C20="",0,(IF(LEN(B20)=5,MID(B20,3,1),MID(B20,3,2))))</f>
        <v>0</v>
      </c>
      <c r="F20" s="781">
        <f>IF(W20="H","House",IF(W20="B","Bungalow",IF(W20="F","Flat",IF(W20="S","Shared",IF(W20="T","Bedsit",IF(W20="A","Wheelchair Flat",IF(W20="W","Wheelchair",0)))))))</f>
        <v>0</v>
      </c>
      <c r="G20" s="560"/>
      <c r="H20" s="562"/>
      <c r="I20" s="803"/>
      <c r="J20" s="782">
        <f>I20*C20*52</f>
        <v>0</v>
      </c>
      <c r="U20" s="532"/>
      <c r="V20" s="108"/>
      <c r="W20" t="s" s="62">
        <f>RIGHT(B20,1)</f>
      </c>
      <c r="X20" s="63"/>
      <c r="AC20" t="s" s="90">
        <v>783</v>
      </c>
      <c r="AE20" s="512"/>
      <c r="AF20" t="s" s="554">
        <v>784</v>
      </c>
      <c r="AG20" s="514"/>
      <c r="AH20" s="514"/>
      <c r="AI20" s="565">
        <f>'Project Information'!H32</f>
        <v>424</v>
      </c>
      <c r="AJ20" s="549"/>
      <c r="AK20" s="537"/>
      <c r="AL20" s="552"/>
      <c r="AM20" s="553"/>
      <c r="AN20" s="515"/>
    </row>
    <row r="21" s="58" customFormat="1" ht="18" customHeight="1">
      <c r="B21" t="s" s="566">
        <v>785</v>
      </c>
      <c r="C21" s="567">
        <f>SUM(C11:C20)</f>
        <v>0</v>
      </c>
      <c r="D21" t="s" s="804">
        <v>786</v>
      </c>
      <c r="E21" s="567">
        <f>($C$11*E11)+($C$12*E12)+($C$13*E13)+($C$14*E14)+($C$15*E15)+($C$16*E16)+($C$17*E17)+($C$18*E18)+($C$19*E19)+($C$20*E20)</f>
        <v>0</v>
      </c>
      <c r="F21" s="805"/>
      <c r="G21" s="569">
        <f>($C$11*G11)+($C$12*G12)+($C$13*G13)+($C$14*G14)+($C$15*G15)+($C$16*G16)+($C$17*G17)+($C$18*G18)+($C$19*G19)+($C$20*G20)</f>
        <v>0</v>
      </c>
      <c r="H21" s="569">
        <f>($C$11*H11)+($C$12*H12)+($C$13*H13)+($C$14*H14)+($C$15*H15)+($C$16*H16)+($C$17*H17)+($C$18*H18)+($C$19*H19)+($C$20*H20)</f>
        <v>0</v>
      </c>
      <c r="I21" s="571">
        <f>(J21/C21)/52</f>
      </c>
      <c r="J21" s="788">
        <f>SUM(J11:J20)</f>
        <v>0</v>
      </c>
      <c r="U21" s="532"/>
      <c r="V21" s="108"/>
      <c r="X21" s="63"/>
      <c r="AC21" t="s" s="90">
        <v>788</v>
      </c>
      <c r="AE21" s="512"/>
      <c r="AF21" t="s" s="554">
        <v>789</v>
      </c>
      <c r="AG21" s="514"/>
      <c r="AH21" s="514"/>
      <c r="AI21" s="565">
        <f>'Project Information'!H33</f>
        <v>768</v>
      </c>
      <c r="AJ21" s="549"/>
      <c r="AK21" s="537"/>
      <c r="AL21" s="552"/>
      <c r="AM21" s="553"/>
      <c r="AN21" s="515"/>
    </row>
    <row r="22" s="58" customFormat="1" ht="18" customHeight="1">
      <c r="U22" s="532"/>
      <c r="V22" s="108"/>
      <c r="X22" s="63"/>
      <c r="AC22" t="s" s="90">
        <v>792</v>
      </c>
      <c r="AE22" s="512"/>
      <c r="AF22" t="s" s="554">
        <v>793</v>
      </c>
      <c r="AG22" s="514"/>
      <c r="AH22" s="514"/>
      <c r="AI22" s="565">
        <f>IF(C21=0,0,(AI16*('Summary'!D23+'Summary'!D24)/'Summary'!E16)*-1)</f>
        <v>0</v>
      </c>
      <c r="AJ22" s="514"/>
      <c r="AK22" s="537"/>
      <c r="AL22" s="552"/>
      <c r="AM22" s="553"/>
      <c r="AN22" s="515"/>
    </row>
    <row r="23" s="58" customFormat="1" ht="18" customHeight="1" hidden="1">
      <c r="E23" s="160"/>
      <c r="U23" s="532"/>
      <c r="V23" s="108"/>
      <c r="X23" s="63"/>
      <c r="AC23" t="s" s="90">
        <v>794</v>
      </c>
      <c r="AE23" s="512"/>
      <c r="AF23" t="s" s="554">
        <v>795</v>
      </c>
      <c r="AG23" s="514"/>
      <c r="AH23" s="514"/>
      <c r="AI23" s="555">
        <f>'Social Rent'!AO23</f>
        <v>0.03</v>
      </c>
      <c r="AJ23" s="514"/>
      <c r="AK23" s="514"/>
      <c r="AL23" s="552"/>
      <c r="AM23" s="514"/>
      <c r="AN23" s="515"/>
    </row>
    <row r="24" s="58" customFormat="1" ht="18" customHeight="1" hidden="1">
      <c r="U24" s="532"/>
      <c r="V24" s="108"/>
      <c r="X24" s="63"/>
      <c r="AC24" t="s" s="90">
        <v>797</v>
      </c>
      <c r="AE24" s="512"/>
      <c r="AF24" t="s" s="575">
        <v>798</v>
      </c>
      <c r="AG24" s="514"/>
      <c r="AH24" s="514"/>
      <c r="AI24" s="555">
        <v>0.03</v>
      </c>
      <c r="AJ24" s="514"/>
      <c r="AK24" s="514"/>
      <c r="AL24" s="176"/>
      <c r="AM24" s="514"/>
      <c r="AN24" s="515"/>
    </row>
    <row r="25" s="58" customFormat="1" ht="21" customHeight="1" hidden="1">
      <c r="E25" s="56"/>
      <c r="F25" s="56"/>
      <c r="G25" s="56"/>
      <c r="H25" s="56"/>
      <c r="I25" s="237"/>
      <c r="U25" s="532"/>
      <c r="V25" s="108"/>
      <c r="X25" s="63"/>
      <c r="AC25" t="s" s="90">
        <v>800</v>
      </c>
      <c r="AE25" s="512"/>
      <c r="AF25" t="s" s="575">
        <v>801</v>
      </c>
      <c r="AG25" s="514"/>
      <c r="AH25" s="514"/>
      <c r="AI25" s="555">
        <v>0.03</v>
      </c>
      <c r="AJ25" s="514"/>
      <c r="AK25" s="514"/>
      <c r="AL25" s="576">
        <f>AB15</f>
        <v>0</v>
      </c>
      <c r="AM25" s="577"/>
      <c r="AN25" s="515"/>
    </row>
    <row r="26" s="58" customFormat="1" ht="18" customHeight="1" hidden="1">
      <c r="E26" s="523"/>
      <c r="F26" s="56"/>
      <c r="G26" s="56"/>
      <c r="H26" s="56"/>
      <c r="I26" s="237"/>
      <c r="U26" s="532"/>
      <c r="V26" s="108"/>
      <c r="X26" s="63"/>
      <c r="AC26" t="s" s="90">
        <v>802</v>
      </c>
      <c r="AE26" s="512"/>
      <c r="AF26" t="s" s="575">
        <v>910</v>
      </c>
      <c r="AG26" s="514"/>
      <c r="AH26" s="514"/>
      <c r="AI26" s="555">
        <v>0.03</v>
      </c>
      <c r="AJ26" s="514"/>
      <c r="AK26" s="514"/>
      <c r="AL26" s="514"/>
      <c r="AM26" s="514"/>
      <c r="AN26" s="515"/>
    </row>
    <row r="27" s="58" customFormat="1" ht="18" customHeight="1" hidden="1">
      <c r="I27" s="56"/>
      <c r="U27" s="532"/>
      <c r="V27" s="108"/>
      <c r="X27" s="63"/>
      <c r="AC27" t="s" s="90">
        <v>805</v>
      </c>
      <c r="AE27" s="512"/>
      <c r="AF27" t="s" s="554">
        <v>806</v>
      </c>
      <c r="AG27" s="514"/>
      <c r="AH27" s="514"/>
      <c r="AI27" s="557">
        <v>60</v>
      </c>
      <c r="AJ27" s="514"/>
      <c r="AK27" s="514"/>
      <c r="AL27" s="514"/>
      <c r="AM27" s="514"/>
      <c r="AN27" s="515"/>
    </row>
    <row r="28" s="58" customFormat="1" ht="18" customHeight="1" hidden="1">
      <c r="E28" s="600"/>
      <c r="F28" s="600"/>
      <c r="G28" s="790"/>
      <c r="H28" s="806"/>
      <c r="U28" s="532"/>
      <c r="V28" s="108"/>
      <c r="X28" s="63"/>
      <c r="AC28" t="s" s="90">
        <v>808</v>
      </c>
      <c r="AE28" s="512"/>
      <c r="AF28" t="s" s="554">
        <v>809</v>
      </c>
      <c r="AG28" s="514"/>
      <c r="AH28" s="514"/>
      <c r="AI28" s="555">
        <f>'Project Information'!H29</f>
        <v>0.06</v>
      </c>
      <c r="AJ28" s="514"/>
      <c r="AK28" s="514"/>
      <c r="AL28" s="514"/>
      <c r="AM28" s="514"/>
      <c r="AN28" s="515"/>
      <c r="AR28" t="s" s="62">
        <v>810</v>
      </c>
      <c r="AS28" t="s" s="62">
        <v>811</v>
      </c>
      <c r="AU28" s="113">
        <f>$AF39</f>
        <v>0</v>
      </c>
      <c r="AV28" s="113">
        <f>$AF40</f>
        <v>0</v>
      </c>
      <c r="AW28" s="113">
        <f>$AF41</f>
        <v>0</v>
      </c>
      <c r="AX28" s="113">
        <f>$AF42</f>
        <v>0</v>
      </c>
      <c r="AY28" s="113">
        <f>$AF43</f>
        <v>0</v>
      </c>
      <c r="AZ28" s="113">
        <f>$AF44</f>
        <v>0</v>
      </c>
      <c r="BA28" s="113">
        <f>$AF45</f>
        <v>0</v>
      </c>
      <c r="BB28" s="113">
        <f>$AF46</f>
        <v>0</v>
      </c>
      <c r="BC28" s="113">
        <f>$AF47</f>
        <v>0</v>
      </c>
      <c r="BD28" s="113">
        <f>$AF48</f>
        <v>0</v>
      </c>
      <c r="BE28" s="113">
        <f>$AF49</f>
        <v>0</v>
      </c>
      <c r="BF28" s="113">
        <f>$AF50</f>
        <v>0</v>
      </c>
      <c r="BG28" s="113">
        <f>$AF51</f>
        <v>0</v>
      </c>
      <c r="BH28" s="113">
        <f>$AF52</f>
        <v>0</v>
      </c>
      <c r="BI28" s="113">
        <f>$AF53</f>
        <v>0</v>
      </c>
      <c r="BJ28" s="113">
        <f>$AF54</f>
        <v>0</v>
      </c>
      <c r="BK28" s="113">
        <f>$AF55</f>
        <v>0</v>
      </c>
      <c r="BL28" s="113">
        <f>$AF56</f>
        <v>0</v>
      </c>
      <c r="BM28" s="113">
        <f>$AF57</f>
        <v>0</v>
      </c>
      <c r="BN28" s="113">
        <f>$AF58</f>
        <v>0</v>
      </c>
      <c r="BO28" s="113">
        <f>$AF59</f>
        <v>0</v>
      </c>
      <c r="BP28" s="113">
        <f>$AF60</f>
        <v>0</v>
      </c>
      <c r="BQ28" s="113">
        <f>$AF61</f>
        <v>0</v>
      </c>
      <c r="BR28" s="113">
        <f>$AF62</f>
        <v>0</v>
      </c>
      <c r="BS28" s="113">
        <f>$AF63</f>
        <v>0</v>
      </c>
      <c r="BT28" s="113">
        <f>$AF64</f>
        <v>0</v>
      </c>
      <c r="BU28" s="113">
        <f>$AF65</f>
        <v>0</v>
      </c>
      <c r="BV28" s="113">
        <f>$AF66</f>
        <v>0</v>
      </c>
      <c r="BW28" s="113">
        <f>$AF67</f>
        <v>0</v>
      </c>
      <c r="BX28" s="113">
        <f>$AF68</f>
        <v>0</v>
      </c>
      <c r="BY28" s="113">
        <f>$AF69</f>
        <v>0</v>
      </c>
      <c r="BZ28" s="113">
        <f>$AF70</f>
        <v>0</v>
      </c>
      <c r="CA28" s="113">
        <f>$AF71</f>
        <v>0</v>
      </c>
      <c r="CB28" s="113">
        <f>$AF72</f>
        <v>0</v>
      </c>
      <c r="CC28" s="113">
        <f>$AF73</f>
        <v>0</v>
      </c>
      <c r="CD28" s="113">
        <f>$AF74</f>
        <v>0</v>
      </c>
      <c r="CE28" s="113">
        <f>$AF75</f>
        <v>0</v>
      </c>
      <c r="CF28" s="113">
        <f>$AF76</f>
        <v>0</v>
      </c>
      <c r="CG28" s="113">
        <f>$AF77</f>
        <v>0</v>
      </c>
      <c r="CH28" s="113">
        <f>$AF78</f>
        <v>0</v>
      </c>
      <c r="CI28" s="113">
        <f>$AF79</f>
        <v>0</v>
      </c>
      <c r="CJ28" s="113">
        <f>$AF80</f>
        <v>0</v>
      </c>
      <c r="CK28" s="113">
        <f>$AF81</f>
        <v>0</v>
      </c>
      <c r="CL28" s="113">
        <f>$AF82</f>
        <v>0</v>
      </c>
      <c r="CM28" s="113">
        <f>$AF83</f>
        <v>0</v>
      </c>
      <c r="CN28" s="113">
        <f>$AF84</f>
        <v>0</v>
      </c>
      <c r="CO28" s="113">
        <f>$AF85</f>
        <v>0</v>
      </c>
      <c r="CP28" s="113">
        <f>$AF86</f>
        <v>0</v>
      </c>
      <c r="CQ28" s="113">
        <f>$AF87</f>
        <v>0</v>
      </c>
      <c r="CR28" s="807">
        <f>$AF88</f>
        <v>0</v>
      </c>
    </row>
    <row r="29" s="58" customFormat="1" ht="18" customHeight="1" hidden="1">
      <c r="E29" s="601"/>
      <c r="F29" s="791"/>
      <c r="G29" s="792"/>
      <c r="H29" s="790"/>
      <c r="U29" s="532"/>
      <c r="V29" s="108"/>
      <c r="X29" s="63"/>
      <c r="AC29" t="s" s="90">
        <v>812</v>
      </c>
      <c r="AE29" s="512"/>
      <c r="AF29" s="549"/>
      <c r="AG29" s="514"/>
      <c r="AH29" s="514"/>
      <c r="AI29" s="555"/>
      <c r="AJ29" s="514"/>
      <c r="AK29" s="514"/>
      <c r="AL29" s="514"/>
      <c r="AM29" s="514"/>
      <c r="AN29" s="515"/>
      <c r="AR29" t="s" s="62">
        <v>175</v>
      </c>
      <c r="AU29" s="113">
        <f>AG39</f>
        <v>0</v>
      </c>
      <c r="AV29" s="113">
        <f>$AG40</f>
        <v>0</v>
      </c>
      <c r="AW29" s="113">
        <f>$AG41</f>
        <v>0</v>
      </c>
      <c r="AX29" s="113">
        <f>$AG42</f>
        <v>0</v>
      </c>
      <c r="AY29" s="113">
        <f>$AG43</f>
        <v>0</v>
      </c>
      <c r="AZ29" s="113">
        <f>$AG44</f>
        <v>0</v>
      </c>
      <c r="BA29" s="113">
        <f>$AG45</f>
        <v>0</v>
      </c>
      <c r="BB29" s="113">
        <f>$AG46</f>
        <v>0</v>
      </c>
      <c r="BC29" s="113">
        <f>$AG47</f>
        <v>0</v>
      </c>
      <c r="BD29" s="113">
        <f>$AG48</f>
        <v>0</v>
      </c>
      <c r="BE29" s="113">
        <f>$AG49</f>
        <v>0</v>
      </c>
      <c r="BF29" s="113">
        <f>$AG50</f>
        <v>0</v>
      </c>
      <c r="BG29" s="113">
        <f>$AG51</f>
        <v>0</v>
      </c>
      <c r="BH29" s="113">
        <f>$AG52</f>
        <v>0</v>
      </c>
      <c r="BI29" s="113">
        <f>$AG53</f>
        <v>0</v>
      </c>
      <c r="BJ29" s="113">
        <f>$AG54</f>
        <v>0</v>
      </c>
      <c r="BK29" s="113">
        <f>$AG55</f>
        <v>0</v>
      </c>
      <c r="BL29" s="113">
        <f>$AG56</f>
        <v>0</v>
      </c>
      <c r="BM29" s="113">
        <f>$AG57</f>
        <v>0</v>
      </c>
      <c r="BN29" s="113">
        <f>$AG58</f>
        <v>0</v>
      </c>
      <c r="BO29" s="113">
        <f>$AG59</f>
        <v>0</v>
      </c>
      <c r="BP29" s="113">
        <f>$AG60</f>
        <v>0</v>
      </c>
      <c r="BQ29" s="113">
        <f>$AG61</f>
        <v>0</v>
      </c>
      <c r="BR29" s="113">
        <f>$AG62</f>
        <v>0</v>
      </c>
      <c r="BS29" s="113">
        <f>$AG63</f>
        <v>0</v>
      </c>
      <c r="BT29" s="113">
        <f>$AG64</f>
        <v>0</v>
      </c>
      <c r="BU29" s="113">
        <f>$AG65</f>
        <v>0</v>
      </c>
      <c r="BV29" s="113">
        <f>$AG66</f>
        <v>0</v>
      </c>
      <c r="BW29" s="113">
        <f>$AG67</f>
        <v>0</v>
      </c>
      <c r="BX29" s="113">
        <f>$AG68</f>
        <v>0</v>
      </c>
      <c r="BY29" s="113">
        <f>$AG69</f>
        <v>0</v>
      </c>
      <c r="BZ29" s="113">
        <f>$AG70</f>
        <v>0</v>
      </c>
      <c r="CA29" s="113">
        <f>$AG71</f>
        <v>0</v>
      </c>
      <c r="CB29" s="113">
        <f>$AG72</f>
        <v>0</v>
      </c>
      <c r="CC29" s="113">
        <f>$AG73</f>
        <v>0</v>
      </c>
      <c r="CD29" s="113">
        <f>$AG74</f>
        <v>0</v>
      </c>
      <c r="CE29" s="113">
        <f>$AG75</f>
        <v>0</v>
      </c>
      <c r="CF29" s="113">
        <f>$AG76</f>
        <v>0</v>
      </c>
      <c r="CG29" s="113">
        <f>$AG77</f>
        <v>0</v>
      </c>
      <c r="CH29" s="113">
        <f>$AG78</f>
        <v>0</v>
      </c>
      <c r="CI29" s="113">
        <f>$AG79</f>
        <v>0</v>
      </c>
      <c r="CJ29" s="113">
        <f>$AG80</f>
        <v>0</v>
      </c>
      <c r="CK29" s="113">
        <f>$AG81</f>
        <v>0</v>
      </c>
      <c r="CL29" s="113">
        <f>$AG82</f>
        <v>0</v>
      </c>
      <c r="CM29" s="113">
        <f>$AG83</f>
        <v>0</v>
      </c>
      <c r="CN29" s="113">
        <f>$AG84</f>
        <v>0</v>
      </c>
      <c r="CO29" s="113">
        <f>$AG85</f>
        <v>0</v>
      </c>
      <c r="CP29" s="113">
        <f>$AG86</f>
        <v>0</v>
      </c>
      <c r="CQ29" s="113">
        <f>$AG87</f>
        <v>0</v>
      </c>
      <c r="CR29" s="807">
        <f>$AG88</f>
        <v>0</v>
      </c>
    </row>
    <row r="30" s="58" customFormat="1" ht="18" customHeight="1" hidden="1">
      <c r="E30" s="600"/>
      <c r="F30" s="793"/>
      <c r="G30" s="793"/>
      <c r="H30" s="790"/>
      <c r="U30" s="532"/>
      <c r="V30" s="108"/>
      <c r="X30" s="63"/>
      <c r="AC30" t="s" s="90">
        <v>813</v>
      </c>
      <c r="AE30" s="584"/>
      <c r="AF30" s="585"/>
      <c r="AG30" s="101"/>
      <c r="AH30" s="101"/>
      <c r="AI30" s="586"/>
      <c r="AJ30" s="101"/>
      <c r="AK30" s="101"/>
      <c r="AL30" s="101"/>
      <c r="AM30" t="s" s="808">
        <v>911</v>
      </c>
      <c r="AN30" s="588"/>
      <c r="AR30" t="s" s="62">
        <v>814</v>
      </c>
      <c r="AU30" s="113">
        <f>AH39</f>
        <v>0</v>
      </c>
      <c r="AV30" s="113">
        <f>$AH40</f>
        <v>0</v>
      </c>
      <c r="AW30" s="113">
        <f>$AH41</f>
        <v>0</v>
      </c>
      <c r="AX30" s="113">
        <f>$AH42</f>
        <v>0</v>
      </c>
      <c r="AY30" s="113">
        <f>$AH43</f>
        <v>0</v>
      </c>
      <c r="AZ30" s="113">
        <f>$AH44</f>
        <v>0</v>
      </c>
      <c r="BA30" s="113">
        <f>$AH45</f>
        <v>0</v>
      </c>
      <c r="BB30" s="113">
        <f>$AH46</f>
        <v>0</v>
      </c>
      <c r="BC30" s="113">
        <f>$AH47</f>
        <v>0</v>
      </c>
      <c r="BD30" s="113">
        <f>$AH48</f>
        <v>0</v>
      </c>
      <c r="BE30" s="113">
        <f>$AH49</f>
        <v>0</v>
      </c>
      <c r="BF30" s="113">
        <f>$AH50</f>
        <v>0</v>
      </c>
      <c r="BG30" s="113">
        <f>$AH51</f>
        <v>0</v>
      </c>
      <c r="BH30" s="113">
        <f>$AH52</f>
        <v>0</v>
      </c>
      <c r="BI30" s="113">
        <f>$AH53</f>
        <v>0</v>
      </c>
      <c r="BJ30" s="113">
        <f>$AH54</f>
        <v>0</v>
      </c>
      <c r="BK30" s="113">
        <f>$AH55</f>
        <v>0</v>
      </c>
      <c r="BL30" s="113">
        <f>$AH56</f>
        <v>0</v>
      </c>
      <c r="BM30" s="113">
        <f>$AH57</f>
        <v>0</v>
      </c>
      <c r="BN30" s="113">
        <f>$AH58</f>
        <v>0</v>
      </c>
      <c r="BO30" s="113">
        <f>$AH59</f>
        <v>0</v>
      </c>
      <c r="BP30" s="113">
        <f>$AH60</f>
        <v>0</v>
      </c>
      <c r="BQ30" s="113">
        <f>$AH61</f>
        <v>0</v>
      </c>
      <c r="BR30" s="113">
        <f>$AH62</f>
        <v>0</v>
      </c>
      <c r="BS30" s="113">
        <f>$AH63</f>
        <v>0</v>
      </c>
      <c r="BT30" s="113">
        <f>$AH64</f>
        <v>0</v>
      </c>
      <c r="BU30" s="113">
        <f>$AH65</f>
        <v>0</v>
      </c>
      <c r="BV30" s="113">
        <f>$AH66</f>
        <v>0</v>
      </c>
      <c r="BW30" s="113">
        <f>$AH67</f>
        <v>0</v>
      </c>
      <c r="BX30" s="113">
        <f>$AH68</f>
        <v>0</v>
      </c>
      <c r="BY30" s="113">
        <f>$AH69</f>
        <v>0</v>
      </c>
      <c r="BZ30" s="113">
        <f>$AH70</f>
        <v>0</v>
      </c>
      <c r="CA30" s="113">
        <f>$AH71</f>
        <v>0</v>
      </c>
      <c r="CB30" s="113">
        <f>$AH72</f>
        <v>0</v>
      </c>
      <c r="CC30" s="113">
        <f>$AH73</f>
        <v>0</v>
      </c>
      <c r="CD30" s="113">
        <f>$AH74</f>
        <v>0</v>
      </c>
      <c r="CE30" s="113">
        <f>$AH75</f>
        <v>0</v>
      </c>
      <c r="CF30" s="113">
        <f>$AH76</f>
        <v>0</v>
      </c>
      <c r="CG30" s="113">
        <f>$AH77</f>
        <v>0</v>
      </c>
      <c r="CH30" s="113">
        <f>$AH78</f>
        <v>0</v>
      </c>
      <c r="CI30" s="113">
        <f>$AH79</f>
        <v>0</v>
      </c>
      <c r="CJ30" s="113">
        <f>$AH80</f>
        <v>0</v>
      </c>
      <c r="CK30" s="113">
        <f>$AH81</f>
        <v>0</v>
      </c>
      <c r="CL30" s="113">
        <f>$AH82</f>
        <v>0</v>
      </c>
      <c r="CM30" s="113">
        <f>$AH83</f>
        <v>0</v>
      </c>
      <c r="CN30" s="113">
        <f>$AH84</f>
        <v>0</v>
      </c>
      <c r="CO30" s="113">
        <f>$AH85</f>
        <v>0</v>
      </c>
      <c r="CP30" s="113">
        <f>$AH86</f>
        <v>0</v>
      </c>
      <c r="CQ30" s="113">
        <f>$AH87</f>
        <v>0</v>
      </c>
      <c r="CR30" s="807">
        <f>$AH88</f>
        <v>0</v>
      </c>
    </row>
    <row r="31" s="58" customFormat="1" ht="18" customHeight="1" hidden="1">
      <c r="E31" s="101"/>
      <c r="F31" s="101"/>
      <c r="G31" s="793"/>
      <c r="H31" s="793"/>
      <c r="X31" s="63"/>
      <c r="AC31" t="s" s="90">
        <v>816</v>
      </c>
      <c r="AE31" s="584"/>
      <c r="AF31" s="585"/>
      <c r="AG31" s="101"/>
      <c r="AH31" s="101"/>
      <c r="AI31" s="585"/>
      <c r="AJ31" s="101"/>
      <c r="AK31" s="101"/>
      <c r="AL31" s="101"/>
      <c r="AM31" s="587"/>
      <c r="AN31" t="s" s="589">
        <v>817</v>
      </c>
      <c r="AR31" t="s" s="62">
        <v>818</v>
      </c>
      <c r="AU31" s="113">
        <f>AI39</f>
        <v>0</v>
      </c>
      <c r="AV31" s="113">
        <f>$AI40</f>
        <v>0</v>
      </c>
      <c r="AW31" s="113">
        <f>$AI41</f>
        <v>0</v>
      </c>
      <c r="AX31" s="113">
        <f>$AI42</f>
        <v>0</v>
      </c>
      <c r="AY31" s="113">
        <f>$AI43</f>
        <v>0</v>
      </c>
      <c r="AZ31" s="113">
        <f>$AI44</f>
        <v>0</v>
      </c>
      <c r="BA31" s="113">
        <f>$AI45</f>
        <v>0</v>
      </c>
      <c r="BB31" s="113">
        <f>$AI46</f>
        <v>0</v>
      </c>
      <c r="BC31" s="113">
        <f>$AI47</f>
        <v>0</v>
      </c>
      <c r="BD31" s="113">
        <f>$AI48</f>
        <v>0</v>
      </c>
      <c r="BE31" s="113">
        <f>$AI49</f>
        <v>0</v>
      </c>
      <c r="BF31" s="113">
        <f>$AI50</f>
        <v>0</v>
      </c>
      <c r="BG31" s="113">
        <f>$AI51</f>
        <v>0</v>
      </c>
      <c r="BH31" s="113">
        <f>$AI52</f>
        <v>0</v>
      </c>
      <c r="BI31" s="113">
        <f>$AI53</f>
        <v>0</v>
      </c>
      <c r="BJ31" s="113">
        <f>$AI54</f>
        <v>0</v>
      </c>
      <c r="BK31" s="113">
        <f>$AI55</f>
        <v>0</v>
      </c>
      <c r="BL31" s="113">
        <f>$AI56</f>
        <v>0</v>
      </c>
      <c r="BM31" s="113">
        <f>$AI57</f>
        <v>0</v>
      </c>
      <c r="BN31" s="113">
        <f>$AI58</f>
        <v>0</v>
      </c>
      <c r="BO31" s="113">
        <f>$AI59</f>
        <v>0</v>
      </c>
      <c r="BP31" s="113">
        <f>$AI60</f>
        <v>0</v>
      </c>
      <c r="BQ31" s="113">
        <f>$AI61</f>
        <v>0</v>
      </c>
      <c r="BR31" s="113">
        <f>$AI62</f>
        <v>0</v>
      </c>
      <c r="BS31" s="113">
        <f>$AI63</f>
        <v>0</v>
      </c>
      <c r="BT31" s="113">
        <f>$AI64</f>
        <v>0</v>
      </c>
      <c r="BU31" s="113">
        <f>$AI65</f>
        <v>0</v>
      </c>
      <c r="BV31" s="113">
        <f>$AI66</f>
        <v>0</v>
      </c>
      <c r="BW31" s="113">
        <f>$AI67</f>
        <v>0</v>
      </c>
      <c r="BX31" s="113">
        <f>$AI68</f>
        <v>0</v>
      </c>
      <c r="BY31" s="113">
        <f>$AI69</f>
        <v>0</v>
      </c>
      <c r="BZ31" s="113">
        <f>$AI70</f>
        <v>0</v>
      </c>
      <c r="CA31" s="113">
        <f>$AI71</f>
        <v>0</v>
      </c>
      <c r="CB31" s="113">
        <f>$AI72</f>
        <v>0</v>
      </c>
      <c r="CC31" s="113">
        <f>$AI73</f>
        <v>0</v>
      </c>
      <c r="CD31" s="113">
        <f>$AI74</f>
        <v>0</v>
      </c>
      <c r="CE31" s="113">
        <f>$AI75</f>
        <v>0</v>
      </c>
      <c r="CF31" s="113">
        <f>$AI76</f>
        <v>0</v>
      </c>
      <c r="CG31" s="113">
        <f>$AI77</f>
        <v>0</v>
      </c>
      <c r="CH31" s="113">
        <f>$AI78</f>
        <v>0</v>
      </c>
      <c r="CI31" s="113">
        <f>$AI79</f>
        <v>0</v>
      </c>
      <c r="CJ31" s="113">
        <f>$AI80</f>
        <v>0</v>
      </c>
      <c r="CK31" s="113">
        <f>$AI81</f>
        <v>0</v>
      </c>
      <c r="CL31" s="113">
        <f>$AI82</f>
        <v>0</v>
      </c>
      <c r="CM31" s="113">
        <f>$AI83</f>
        <v>0</v>
      </c>
      <c r="CN31" s="113">
        <f>$AI84</f>
        <v>0</v>
      </c>
      <c r="CO31" s="113">
        <f>$AI85</f>
        <v>0</v>
      </c>
      <c r="CP31" s="113">
        <f>$AI86</f>
        <v>0</v>
      </c>
      <c r="CQ31" s="113">
        <f>$AI87</f>
        <v>0</v>
      </c>
      <c r="CR31" s="807">
        <f>$AI88</f>
        <v>0</v>
      </c>
    </row>
    <row r="32" s="58" customFormat="1" ht="18" customHeight="1" hidden="1">
      <c r="X32" s="63"/>
      <c r="AC32" t="s" s="90">
        <v>820</v>
      </c>
      <c r="AE32" s="584"/>
      <c r="AF32" s="101"/>
      <c r="AG32" s="101"/>
      <c r="AH32" s="101"/>
      <c r="AI32" s="101"/>
      <c r="AJ32" s="101"/>
      <c r="AK32" s="101"/>
      <c r="AL32" s="101"/>
      <c r="AM32" s="585"/>
      <c r="AN32" s="590">
        <f>IF(AI17=0,0,AN99)</f>
        <v>0</v>
      </c>
      <c r="AR32" t="s" s="62">
        <v>821</v>
      </c>
      <c r="AU32" s="113">
        <f>IF($AI$17=0,0,AJ39)</f>
        <v>0</v>
      </c>
      <c r="AV32" s="113">
        <f>IF($AI$17=0,0,$AJ40)</f>
        <v>0</v>
      </c>
      <c r="AW32" s="113">
        <f>IF($AI$17=0,0,$AJ41)</f>
        <v>0</v>
      </c>
      <c r="AX32" s="113">
        <f>IF($AI$17=0,0,$AJ42)</f>
        <v>0</v>
      </c>
      <c r="AY32" s="113">
        <f>IF($AI$17=0,0,$AJ43)</f>
        <v>0</v>
      </c>
      <c r="AZ32" s="113">
        <f>IF($AI$17=0,0,$AJ44)</f>
        <v>0</v>
      </c>
      <c r="BA32" s="113">
        <f>IF($AI$17=0,0,$AJ45)</f>
        <v>0</v>
      </c>
      <c r="BB32" s="113">
        <f>IF($AI$17=0,0,$AJ46)</f>
        <v>0</v>
      </c>
      <c r="BC32" s="113">
        <f>IF($AI$17=0,0,$AJ47)</f>
        <v>0</v>
      </c>
      <c r="BD32" s="113">
        <f>IF($AI$17=0,0,$AJ48)</f>
        <v>0</v>
      </c>
      <c r="BE32" s="113">
        <f>IF($AI$17=0,0,$AJ49)</f>
        <v>0</v>
      </c>
      <c r="BF32" s="113">
        <f>IF($AI$17=0,0,$AJ50)</f>
        <v>0</v>
      </c>
      <c r="BG32" s="113">
        <f>IF($AI$17=0,0,$AJ51)</f>
        <v>0</v>
      </c>
      <c r="BH32" s="113">
        <f>IF($AI$17=0,0,$AJ52)</f>
        <v>0</v>
      </c>
      <c r="BI32" s="113">
        <f>IF($AI$17=0,0,$AJ53)</f>
        <v>0</v>
      </c>
      <c r="BJ32" s="113">
        <f>IF($AI$17=0,0,$AJ54)</f>
        <v>0</v>
      </c>
      <c r="BK32" s="113">
        <f>IF($AI$17=0,0,$AJ55)</f>
        <v>0</v>
      </c>
      <c r="BL32" s="113">
        <f>IF($AI$17=0,0,$AJ56)</f>
        <v>0</v>
      </c>
      <c r="BM32" s="113">
        <f>IF($AI$17=0,0,$AJ57)</f>
        <v>0</v>
      </c>
      <c r="BN32" s="113">
        <f>IF($AI$17=0,0,$AJ58)</f>
        <v>0</v>
      </c>
      <c r="BO32" s="113">
        <f>IF($AI$17=0,0,$AJ59)</f>
        <v>0</v>
      </c>
      <c r="BP32" s="113">
        <f>IF($AI$17=0,0,$AJ60)</f>
        <v>0</v>
      </c>
      <c r="BQ32" s="113">
        <f>IF($AI$17=0,0,$AJ61)</f>
        <v>0</v>
      </c>
      <c r="BR32" s="113">
        <f>IF($AI$17=0,0,$AJ62)</f>
        <v>0</v>
      </c>
      <c r="BS32" s="113">
        <f>IF($AI$17=0,0,$AJ63)</f>
        <v>0</v>
      </c>
      <c r="BT32" s="113">
        <f>IF($AI$17=0,0,$AJ64)</f>
        <v>0</v>
      </c>
      <c r="BU32" s="113">
        <f>IF($AI$17=0,0,$AJ65)</f>
        <v>0</v>
      </c>
      <c r="BV32" s="113">
        <f>IF($AI$17=0,0,$AJ66)</f>
        <v>0</v>
      </c>
      <c r="BW32" s="113">
        <f>IF($AI$17=0,0,$AJ67)</f>
        <v>0</v>
      </c>
      <c r="BX32" s="113">
        <f>IF($AI$17=0,0,$AJ68)</f>
        <v>0</v>
      </c>
      <c r="BY32" s="113">
        <f>IF($AI$17=0,0,$AJ69)</f>
        <v>0</v>
      </c>
      <c r="BZ32" s="113">
        <f>IF($AI$17=0,0,$AJ70)</f>
        <v>0</v>
      </c>
      <c r="CA32" s="113">
        <f>IF($AI$17=0,0,$AJ71)</f>
        <v>0</v>
      </c>
      <c r="CB32" s="113">
        <f>IF($AI$17=0,0,$AJ72)</f>
        <v>0</v>
      </c>
      <c r="CC32" s="113">
        <f>IF($AI$17=0,0,$AJ73)</f>
        <v>0</v>
      </c>
      <c r="CD32" s="113">
        <f>IF($AI$17=0,0,$AJ74)</f>
        <v>0</v>
      </c>
      <c r="CE32" s="113">
        <f>IF($AI$17=0,0,$AJ75)</f>
        <v>0</v>
      </c>
      <c r="CF32" s="113">
        <f>IF($AI$17=0,0,$AJ76)</f>
        <v>0</v>
      </c>
      <c r="CG32" s="113">
        <f>IF($AI$17=0,0,$AJ77)</f>
        <v>0</v>
      </c>
      <c r="CH32" s="113">
        <f>IF($AI$17=0,0,$AJ78)</f>
        <v>0</v>
      </c>
      <c r="CI32" s="113">
        <f>IF($AI$17=0,0,$AJ79)</f>
        <v>0</v>
      </c>
      <c r="CJ32" s="113">
        <f>IF($AI$17=0,0,$AJ80)</f>
        <v>0</v>
      </c>
      <c r="CK32" s="113">
        <f>IF($AI$17=0,0,$AJ81)</f>
        <v>0</v>
      </c>
      <c r="CL32" s="113">
        <f>IF($AI$17=0,0,$AJ82)</f>
        <v>0</v>
      </c>
      <c r="CM32" s="113">
        <f>IF($AI$17=0,0,$AJ83)</f>
        <v>0</v>
      </c>
      <c r="CN32" s="113">
        <f>IF($AI$17=0,0,$AJ84)</f>
        <v>0</v>
      </c>
      <c r="CO32" s="113">
        <f>IF($AI$17=0,0,$AJ85)</f>
        <v>0</v>
      </c>
      <c r="CP32" s="113">
        <f>IF($AI$17=0,0,$AJ86)</f>
        <v>0</v>
      </c>
      <c r="CQ32" s="113">
        <f>IF($AI$17=0,0,$AJ87)</f>
        <v>0</v>
      </c>
      <c r="CR32" s="807">
        <f>IF($AI$17=0,0,$AJ88)</f>
        <v>0</v>
      </c>
    </row>
    <row r="33" s="58" customFormat="1" ht="18" customHeight="1" hidden="1">
      <c r="X33" s="63"/>
      <c r="AC33" t="s" s="90">
        <v>823</v>
      </c>
      <c r="AE33" s="584"/>
      <c r="AF33" s="101"/>
      <c r="AG33" s="101"/>
      <c r="AH33" s="101"/>
      <c r="AI33" s="101"/>
      <c r="AJ33" s="101"/>
      <c r="AK33" s="101"/>
      <c r="AL33" s="101"/>
      <c r="AM33" s="585"/>
      <c r="AN33" s="590"/>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113"/>
      <c r="BR33" s="113"/>
      <c r="BS33" s="113"/>
      <c r="BT33" s="113"/>
      <c r="BU33" s="113"/>
      <c r="BV33" s="113"/>
      <c r="BW33" s="113"/>
      <c r="BX33" s="113"/>
    </row>
    <row r="34" s="58" customFormat="1" ht="18" customHeight="1" hidden="1">
      <c r="X34" s="63"/>
      <c r="AC34" t="s" s="90">
        <v>825</v>
      </c>
      <c r="AE34" s="584"/>
      <c r="AF34" s="101"/>
      <c r="AG34" s="101"/>
      <c r="AH34" s="101"/>
      <c r="AI34" s="101"/>
      <c r="AJ34" s="101"/>
      <c r="AK34" s="101"/>
      <c r="AL34" s="101"/>
      <c r="AM34" s="585"/>
      <c r="AN34" s="590"/>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3"/>
      <c r="BQ34" s="113"/>
      <c r="BR34" s="113"/>
      <c r="BS34" s="113"/>
      <c r="BT34" s="113"/>
      <c r="BU34" s="113"/>
      <c r="BV34" s="113"/>
      <c r="BW34" s="113"/>
      <c r="BX34" s="113"/>
    </row>
    <row r="35" s="58" customFormat="1" ht="18" customHeight="1" hidden="1">
      <c r="X35" s="63"/>
      <c r="AC35" t="s" s="90">
        <v>830</v>
      </c>
      <c r="AE35" s="584"/>
      <c r="AF35" s="555">
        <f>AI23</f>
        <v>0.03</v>
      </c>
      <c r="AG35" s="555">
        <f>AI19</f>
        <v>0.02</v>
      </c>
      <c r="AH35" s="555">
        <f>AI24</f>
        <v>0.03</v>
      </c>
      <c r="AI35" s="555">
        <f>AI25</f>
        <v>0.03</v>
      </c>
      <c r="AJ35" s="555">
        <f>AI26</f>
        <v>0.03</v>
      </c>
      <c r="AK35" s="101"/>
      <c r="AL35" s="555">
        <f>AI29</f>
        <v>0</v>
      </c>
      <c r="AM35" s="585"/>
      <c r="AN35" t="s" s="591">
        <v>824</v>
      </c>
    </row>
    <row r="36" s="58" customFormat="1" ht="18" customHeight="1" hidden="1">
      <c r="X36" s="63"/>
      <c r="AC36" t="s" s="90">
        <v>831</v>
      </c>
      <c r="AE36" t="s" s="593">
        <v>826</v>
      </c>
      <c r="AF36" t="s" s="594">
        <v>810</v>
      </c>
      <c r="AG36" t="s" s="594">
        <v>175</v>
      </c>
      <c r="AH36" t="s" s="594">
        <v>814</v>
      </c>
      <c r="AI36" t="s" s="594">
        <v>818</v>
      </c>
      <c r="AJ36" t="s" s="594">
        <v>821</v>
      </c>
      <c r="AK36" t="s" s="594">
        <v>827</v>
      </c>
      <c r="AL36" t="s" s="594">
        <v>912</v>
      </c>
      <c r="AM36" t="s" s="594">
        <v>829</v>
      </c>
      <c r="AN36" t="s" s="595">
        <v>829</v>
      </c>
    </row>
    <row r="37" s="58" customFormat="1" ht="18" customHeight="1" hidden="1">
      <c r="X37" s="63"/>
      <c r="AC37" t="s" s="90">
        <v>834</v>
      </c>
      <c r="AE37" s="584"/>
      <c r="AF37" t="s" s="594">
        <v>811</v>
      </c>
      <c r="AG37" t="s" s="594">
        <v>811</v>
      </c>
      <c r="AH37" t="s" s="594">
        <v>811</v>
      </c>
      <c r="AI37" t="s" s="594">
        <v>811</v>
      </c>
      <c r="AJ37" t="s" s="594">
        <v>811</v>
      </c>
      <c r="AK37" t="s" s="594">
        <v>811</v>
      </c>
      <c r="AL37" t="s" s="594">
        <v>811</v>
      </c>
      <c r="AM37" t="s" s="594">
        <v>811</v>
      </c>
      <c r="AN37" t="s" s="595">
        <v>622</v>
      </c>
    </row>
    <row r="38" s="58" customFormat="1" ht="15" customHeight="1" hidden="1">
      <c r="X38" s="63"/>
      <c r="AC38" t="s" s="90">
        <v>837</v>
      </c>
      <c r="AE38" s="584"/>
      <c r="AF38" s="101"/>
      <c r="AG38" s="101"/>
      <c r="AH38" s="101"/>
      <c r="AI38" s="101"/>
      <c r="AJ38" s="101"/>
      <c r="AK38" s="101"/>
      <c r="AL38" s="101"/>
      <c r="AM38" s="101"/>
      <c r="AN38" s="596"/>
    </row>
    <row r="39" s="58" customFormat="1" ht="18" customHeight="1" hidden="1">
      <c r="X39" s="63"/>
      <c r="AC39" t="s" s="90">
        <v>839</v>
      </c>
      <c r="AE39" s="584">
        <v>1</v>
      </c>
      <c r="AF39" s="598">
        <f>J21</f>
        <v>0</v>
      </c>
      <c r="AG39" s="598">
        <f>ROUND(-AF39*$AI$19,0)</f>
        <v>0</v>
      </c>
      <c r="AH39" s="598">
        <f>ROUND(-AI17*AI20,0)</f>
        <v>0</v>
      </c>
      <c r="AI39" s="598">
        <f>ROUND(-AI17*AI21,0)</f>
        <v>0</v>
      </c>
      <c r="AJ39" s="598">
        <f>$AH$135*0</f>
        <v>0</v>
      </c>
      <c r="AK39" s="598">
        <f>SUM(AF39:AJ39)</f>
        <v>0</v>
      </c>
      <c r="AL39" s="598">
        <f>ROUND(-AI15*AI17*AI30/1000,0)</f>
        <v>0</v>
      </c>
      <c r="AM39" s="598">
        <f>SUM(AK39:AL39)</f>
        <v>0</v>
      </c>
      <c r="AN39" s="599">
        <f>AK39*(1/((1+$AI$28)^(AE39-0.5)))</f>
        <v>0</v>
      </c>
    </row>
    <row r="40" s="58" customFormat="1" ht="18" customHeight="1" hidden="1">
      <c r="X40" s="63"/>
      <c r="AC40" t="s" s="90">
        <v>841</v>
      </c>
      <c r="AE40" s="584">
        <f>AE39+1</f>
        <v>2</v>
      </c>
      <c r="AF40" s="598">
        <f>AF39*(1+$AI$23)</f>
        <v>0</v>
      </c>
      <c r="AG40" s="598">
        <f>ROUND(-AF40*$AI$19,0)</f>
        <v>0</v>
      </c>
      <c r="AH40" s="598">
        <f>IF(AE40&gt;$AI$27,0,ROUND(AH39*(1+$AI$24),0))</f>
        <v>0</v>
      </c>
      <c r="AI40" s="598">
        <f>IF(AE40&gt;$AI$27,0,ROUND(AI39*(1+$AI$25),0))</f>
        <v>0</v>
      </c>
      <c r="AJ40" s="598">
        <f t="shared" si="338" ref="AJ40:AJ41">$AJ$135*0</f>
        <v>0</v>
      </c>
      <c r="AK40" s="598">
        <f>SUM(AF40:AJ40)</f>
        <v>0</v>
      </c>
      <c r="AL40" s="598">
        <f>IF(AE40&gt;$H$24,0,ROUND(AL39*(1+$N$32),0))</f>
        <v>0</v>
      </c>
      <c r="AM40" s="598">
        <f>SUM(AK40:AL40)</f>
        <v>0</v>
      </c>
      <c r="AN40" s="599">
        <f>AK40*(1/((1+$AI$28)^(AE40-0.5)))</f>
        <v>0</v>
      </c>
    </row>
    <row r="41" s="58" customFormat="1" ht="18" customHeight="1" hidden="1">
      <c r="X41" s="63"/>
      <c r="AC41" t="s" s="90">
        <v>843</v>
      </c>
      <c r="AE41" s="584">
        <f>AE40+1</f>
        <v>3</v>
      </c>
      <c r="AF41" s="598">
        <f>AF40*(1+$AI$23)</f>
        <v>0</v>
      </c>
      <c r="AG41" s="598">
        <f>ROUND(-AF41*$AI$19,0)</f>
        <v>0</v>
      </c>
      <c r="AH41" s="598">
        <f>IF(AE41&gt;$AI$27,0,ROUND(AH40*(1+$AI$24),0))</f>
        <v>0</v>
      </c>
      <c r="AI41" s="598">
        <f>IF(AE41&gt;$AI$27,0,ROUND(AI40*(1+$AI$25),0))</f>
        <v>0</v>
      </c>
      <c r="AJ41" s="598">
        <f t="shared" si="338"/>
        <v>0</v>
      </c>
      <c r="AK41" s="598">
        <f>SUM(AF41:AJ41)</f>
        <v>0</v>
      </c>
      <c r="AL41" s="598">
        <f>IF(AE41&gt;$H$24,0,ROUND(AL40*(1+$N$32),0))</f>
        <v>0</v>
      </c>
      <c r="AM41" s="598">
        <f>SUM(AK41:AL41)</f>
        <v>0</v>
      </c>
      <c r="AN41" s="599">
        <f>AK41*(1/((1+$AI$28)^(AE41-0.5)))</f>
        <v>0</v>
      </c>
    </row>
    <row r="42" s="58" customFormat="1" ht="18" customHeight="1" hidden="1">
      <c r="X42" s="63"/>
      <c r="AC42" t="s" s="90">
        <v>844</v>
      </c>
      <c r="AE42" s="584">
        <f>AE41+1</f>
        <v>4</v>
      </c>
      <c r="AF42" s="598">
        <f>AF41*(1+$AI$23)</f>
        <v>0</v>
      </c>
      <c r="AG42" s="598">
        <f>ROUND(-AF42*$AI$19,0)</f>
        <v>0</v>
      </c>
      <c r="AH42" s="598">
        <f>IF(AE42&gt;$AI$27,0,ROUND(AH41*(1+$AI$24),0))</f>
        <v>0</v>
      </c>
      <c r="AI42" s="598">
        <f>IF(AE42&gt;$AI$27,0,ROUND(AI41*(1+$AI$25),0))</f>
        <v>0</v>
      </c>
      <c r="AJ42" s="598">
        <f t="shared" si="358" ref="AJ42:AJ44">$AJ$135*0.016</f>
        <v>0</v>
      </c>
      <c r="AK42" s="598">
        <f>SUM(AF42:AJ42)</f>
        <v>0</v>
      </c>
      <c r="AL42" s="598">
        <f>IF(AE42&gt;$H$24,0,ROUND(AL41*(1+$N$32),0))</f>
        <v>0</v>
      </c>
      <c r="AM42" s="598">
        <f>SUM(AK42:AL42)</f>
        <v>0</v>
      </c>
      <c r="AN42" s="599">
        <f>AK42*(1/((1+$AI$28)^(AE42-0.5)))</f>
        <v>0</v>
      </c>
    </row>
    <row r="43" s="58" customFormat="1" ht="18" customHeight="1" hidden="1">
      <c r="X43" s="63"/>
      <c r="AC43" t="s" s="90">
        <v>846</v>
      </c>
      <c r="AE43" s="584">
        <f>AE42+1</f>
        <v>5</v>
      </c>
      <c r="AF43" s="598">
        <f>AF42*(1+$AI$23)</f>
        <v>0</v>
      </c>
      <c r="AG43" s="598">
        <f>ROUND(-AF43*$AI$19,0)</f>
        <v>0</v>
      </c>
      <c r="AH43" s="598">
        <f>IF(AE43&gt;$AI$27,0,ROUND(AH42*(1+$AI$24),0))</f>
        <v>0</v>
      </c>
      <c r="AI43" s="598">
        <f>IF(AE43&gt;$AI$27,0,ROUND(AI42*(1+$AI$25),0))</f>
        <v>0</v>
      </c>
      <c r="AJ43" s="598">
        <f t="shared" si="358"/>
        <v>0</v>
      </c>
      <c r="AK43" s="598">
        <f>SUM(AF43:AJ43)</f>
        <v>0</v>
      </c>
      <c r="AL43" s="598">
        <f>IF(AE43&gt;$H$24,0,ROUND(AL42*(1+$N$32),0))</f>
        <v>0</v>
      </c>
      <c r="AM43" s="598">
        <f>SUM(AK43:AL43)</f>
        <v>0</v>
      </c>
      <c r="AN43" s="599">
        <f>AK43*(1/((1+$AI$28)^(AE43-0.5)))</f>
        <v>0</v>
      </c>
    </row>
    <row r="44" s="58" customFormat="1" ht="18" customHeight="1" hidden="1">
      <c r="X44" s="63"/>
      <c r="AC44" t="s" s="90">
        <v>847</v>
      </c>
      <c r="AE44" s="584">
        <f>AE43+1</f>
        <v>6</v>
      </c>
      <c r="AF44" s="598">
        <f>AF43*(1+$AI$23)</f>
        <v>0</v>
      </c>
      <c r="AG44" s="598">
        <f>ROUND(-AF44*$AI$19,0)</f>
        <v>0</v>
      </c>
      <c r="AH44" s="598">
        <f>IF(AE44&gt;$AI$27,0,ROUND(AH43*(1+$AI$24),0))</f>
        <v>0</v>
      </c>
      <c r="AI44" s="598">
        <f>IF(AE44&gt;$AI$27,0,ROUND(AI43*(1+$AI$25),0))</f>
        <v>0</v>
      </c>
      <c r="AJ44" s="598">
        <f t="shared" si="358"/>
        <v>0</v>
      </c>
      <c r="AK44" s="598">
        <f>SUM(AF44:AJ44)</f>
        <v>0</v>
      </c>
      <c r="AL44" s="598">
        <f>IF(AE44&gt;$H$24,0,ROUND(AL43*(1+$N$32),0))</f>
        <v>0</v>
      </c>
      <c r="AM44" s="598">
        <f>SUM(AK44:AL44)</f>
        <v>0</v>
      </c>
      <c r="AN44" s="599">
        <f>AK44*(1/((1+$AI$28)^(AE44-0.5)))</f>
        <v>0</v>
      </c>
    </row>
    <row r="45" s="58" customFormat="1" ht="18" customHeight="1" hidden="1">
      <c r="X45" s="63"/>
      <c r="AC45" t="s" s="90">
        <v>848</v>
      </c>
      <c r="AE45" s="584">
        <f>AE44+1</f>
        <v>7</v>
      </c>
      <c r="AF45" s="598">
        <f>AF44*(1+$AI$23)</f>
        <v>0</v>
      </c>
      <c r="AG45" s="598">
        <f>ROUND(-AF45*$AI$19,0)</f>
        <v>0</v>
      </c>
      <c r="AH45" s="598">
        <f>IF(AE45&gt;$AI$27,0,ROUND(AH44*(1+$AI$24),0))</f>
        <v>0</v>
      </c>
      <c r="AI45" s="598">
        <f>IF(AE45&gt;$AI$27,0,ROUND(AI44*(1+$AI$25),0))</f>
        <v>0</v>
      </c>
      <c r="AJ45" s="598">
        <f t="shared" si="388" ref="AJ45:AJ47">$AJ$135*0.019</f>
        <v>0</v>
      </c>
      <c r="AK45" s="598">
        <f>SUM(AF45:AJ45)</f>
        <v>0</v>
      </c>
      <c r="AL45" s="598">
        <f>IF(AE45&gt;$H$24,0,ROUND(AL44*(1+$N$32),0))</f>
        <v>0</v>
      </c>
      <c r="AM45" s="598">
        <f>SUM(AK45:AL45)</f>
        <v>0</v>
      </c>
      <c r="AN45" s="599">
        <f>AK45*(1/((1+$AI$28)^(AE45-0.5)))</f>
        <v>0</v>
      </c>
    </row>
    <row r="46" s="58" customFormat="1" ht="18" customHeight="1" hidden="1">
      <c r="X46" s="63"/>
      <c r="AC46" t="s" s="90">
        <v>850</v>
      </c>
      <c r="AE46" s="584">
        <f>AE45+1</f>
        <v>8</v>
      </c>
      <c r="AF46" s="598">
        <f>AF45*(1+$AI$23)</f>
        <v>0</v>
      </c>
      <c r="AG46" s="598">
        <f>ROUND(-AF46*$AI$19,0)</f>
        <v>0</v>
      </c>
      <c r="AH46" s="598">
        <f>IF(AE46&gt;$AI$27,0,ROUND(AH45*(1+$AI$24),0))</f>
        <v>0</v>
      </c>
      <c r="AI46" s="598">
        <f>IF(AE46&gt;$AI$27,0,ROUND(AI45*(1+$AI$25),0))</f>
        <v>0</v>
      </c>
      <c r="AJ46" s="598">
        <f t="shared" si="388"/>
        <v>0</v>
      </c>
      <c r="AK46" s="598">
        <f>SUM(AF46:AJ46)</f>
        <v>0</v>
      </c>
      <c r="AL46" s="598">
        <f>IF(AE46&gt;$H$24,0,ROUND(AL45*(1+$N$32),0))</f>
        <v>0</v>
      </c>
      <c r="AM46" s="598">
        <f>SUM(AK46:AL46)</f>
        <v>0</v>
      </c>
      <c r="AN46" s="599">
        <f>AK46*(1/((1+$AI$28)^(AE46-0.5)))</f>
        <v>0</v>
      </c>
    </row>
    <row r="47" s="58" customFormat="1" ht="18" customHeight="1" hidden="1">
      <c r="X47" s="63"/>
      <c r="AC47" t="s" s="90">
        <v>852</v>
      </c>
      <c r="AE47" s="584">
        <f>AE46+1</f>
        <v>9</v>
      </c>
      <c r="AF47" s="598">
        <f>AF46*(1+$AI$23)</f>
        <v>0</v>
      </c>
      <c r="AG47" s="598">
        <f>ROUND(-AF47*$AI$19,0)</f>
        <v>0</v>
      </c>
      <c r="AH47" s="598">
        <f>IF(AE47&gt;$AI$27,0,ROUND(AH46*(1+$AI$24),0))</f>
        <v>0</v>
      </c>
      <c r="AI47" s="598">
        <f>IF(AE47&gt;$AI$27,0,ROUND(AI46*(1+$AI$25),0))</f>
        <v>0</v>
      </c>
      <c r="AJ47" s="598">
        <f t="shared" si="388"/>
        <v>0</v>
      </c>
      <c r="AK47" s="598">
        <f>SUM(AF47:AJ47)</f>
        <v>0</v>
      </c>
      <c r="AL47" s="598">
        <f>IF(AE47&gt;$H$24,0,ROUND(AL46*(1+$N$32),0))</f>
        <v>0</v>
      </c>
      <c r="AM47" s="598">
        <f>SUM(AK47:AL47)</f>
        <v>0</v>
      </c>
      <c r="AN47" s="599">
        <f>AK47*(1/((1+$AI$28)^(AE47-0.5)))</f>
        <v>0</v>
      </c>
    </row>
    <row r="48" s="58" customFormat="1" ht="18" customHeight="1" hidden="1">
      <c r="X48" s="63"/>
      <c r="AC48" t="s" s="90">
        <v>853</v>
      </c>
      <c r="AE48" s="584">
        <f>AE47+1</f>
        <v>10</v>
      </c>
      <c r="AF48" s="598">
        <f>AF47*(1+$AI$23)</f>
        <v>0</v>
      </c>
      <c r="AG48" s="598">
        <f>ROUND(-AF48*$AI$19,0)</f>
        <v>0</v>
      </c>
      <c r="AH48" s="598">
        <f>IF(AE48&gt;$AI$27,0,ROUND(AH47*(1+$AI$24),0))</f>
        <v>0</v>
      </c>
      <c r="AI48" s="598">
        <f>IF(AE48&gt;$AI$27,0,ROUND(AI47*(1+$AI$25),0))</f>
        <v>0</v>
      </c>
      <c r="AJ48" s="598">
        <f t="shared" si="418" ref="AJ48:AJ50">$AJ$135*0.023</f>
        <v>0</v>
      </c>
      <c r="AK48" s="598">
        <f>SUM(AF48:AJ48)</f>
        <v>0</v>
      </c>
      <c r="AL48" s="598">
        <f>IF(AE48&gt;$H$24,0,ROUND(AL47*(1+$N$32),0))</f>
        <v>0</v>
      </c>
      <c r="AM48" s="598">
        <f>SUM(AK48:AL48)</f>
        <v>0</v>
      </c>
      <c r="AN48" s="599">
        <f>AK48*(1/((1+$AI$28)^(AE48-0.5)))</f>
        <v>0</v>
      </c>
    </row>
    <row r="49" s="58" customFormat="1" ht="18" customHeight="1" hidden="1">
      <c r="X49" s="63"/>
      <c r="AC49" t="s" s="90">
        <v>854</v>
      </c>
      <c r="AE49" s="584">
        <f>AE48+1</f>
        <v>11</v>
      </c>
      <c r="AF49" s="598">
        <f>AF48*(1+$AI$23)</f>
        <v>0</v>
      </c>
      <c r="AG49" s="598">
        <f>ROUND(-AF49*$AI$19,0)</f>
        <v>0</v>
      </c>
      <c r="AH49" s="598">
        <f>IF(AE49&gt;$AI$27,0,ROUND(AH48*(1+$AI$24),0))</f>
        <v>0</v>
      </c>
      <c r="AI49" s="598">
        <f>IF(AE49&gt;$AI$27,0,ROUND(AI48*(1+$AI$25),0))</f>
        <v>0</v>
      </c>
      <c r="AJ49" s="598">
        <f t="shared" si="418"/>
        <v>0</v>
      </c>
      <c r="AK49" s="598">
        <f>SUM(AF49:AJ49)</f>
        <v>0</v>
      </c>
      <c r="AL49" s="598">
        <f>IF(AE49&gt;$H$24,0,ROUND(AL48*(1+$N$32),0))</f>
        <v>0</v>
      </c>
      <c r="AM49" s="598">
        <f>SUM(AK49:AL49)</f>
        <v>0</v>
      </c>
      <c r="AN49" s="599">
        <f>AK49*(1/((1+$AI$28)^(AE49-0.5)))</f>
        <v>0</v>
      </c>
    </row>
    <row r="50" s="58" customFormat="1" ht="18" customHeight="1" hidden="1">
      <c r="X50" s="63"/>
      <c r="AC50" t="s" s="90">
        <v>855</v>
      </c>
      <c r="AE50" s="584">
        <f>AE49+1</f>
        <v>12</v>
      </c>
      <c r="AF50" s="598">
        <f>AF49*(1+$AI$23)</f>
        <v>0</v>
      </c>
      <c r="AG50" s="598">
        <f>ROUND(-AF50*$AI$19,0)</f>
        <v>0</v>
      </c>
      <c r="AH50" s="598">
        <f>IF(AE50&gt;$AI$27,0,ROUND(AH49*(1+$AI$24),0))</f>
        <v>0</v>
      </c>
      <c r="AI50" s="598">
        <f>IF(AE50&gt;$AI$27,0,ROUND(AI49*(1+$AI$25),0))</f>
        <v>0</v>
      </c>
      <c r="AJ50" s="598">
        <f t="shared" si="418"/>
        <v>0</v>
      </c>
      <c r="AK50" s="598">
        <f>SUM(AF50:AJ50)</f>
        <v>0</v>
      </c>
      <c r="AL50" s="598">
        <f>IF(AE50&gt;$H$24,0,ROUND(AL49*(1+$N$32),0))</f>
        <v>0</v>
      </c>
      <c r="AM50" s="598">
        <f>SUM(AK50:AL50)</f>
        <v>0</v>
      </c>
      <c r="AN50" s="599">
        <f>AK50*(1/((1+$AI$28)^(AE50-0.5)))</f>
        <v>0</v>
      </c>
    </row>
    <row r="51" s="58" customFormat="1" ht="18" customHeight="1" hidden="1">
      <c r="X51" s="63"/>
      <c r="AC51" t="s" s="90">
        <v>857</v>
      </c>
      <c r="AE51" s="584">
        <f>AE50+1</f>
        <v>13</v>
      </c>
      <c r="AF51" s="598">
        <f>AF50*(1+$AI$23)</f>
        <v>0</v>
      </c>
      <c r="AG51" s="598">
        <f>ROUND(-AF51*$AI$19,0)</f>
        <v>0</v>
      </c>
      <c r="AH51" s="598">
        <f>IF(AE51&gt;$AI$27,0,ROUND(AH50*(1+$AI$24),0))</f>
        <v>0</v>
      </c>
      <c r="AI51" s="598">
        <f>IF(AE51&gt;$AI$27,0,ROUND(AI50*(1+$AI$25),0))</f>
        <v>0</v>
      </c>
      <c r="AJ51" s="598">
        <f t="shared" si="448" ref="AJ51:AJ53">$AJ$135*0.028</f>
        <v>0</v>
      </c>
      <c r="AK51" s="598">
        <f>SUM(AF51:AJ51)</f>
        <v>0</v>
      </c>
      <c r="AL51" s="598">
        <f>IF(AE51&gt;$H$24,0,ROUND(AL50*(1+$N$32),0))</f>
        <v>0</v>
      </c>
      <c r="AM51" s="598">
        <f>SUM(AK51:AL51)</f>
        <v>0</v>
      </c>
      <c r="AN51" s="599">
        <f>AK51*(1/((1+$AI$28)^(AE51-0.5)))</f>
        <v>0</v>
      </c>
    </row>
    <row r="52" s="58" customFormat="1" ht="18" customHeight="1" hidden="1">
      <c r="X52" s="63"/>
      <c r="AC52" s="536"/>
      <c r="AE52" s="584">
        <f>AE51+1</f>
        <v>14</v>
      </c>
      <c r="AF52" s="598">
        <f>AF51*(1+$AI$23)</f>
        <v>0</v>
      </c>
      <c r="AG52" s="598">
        <f>ROUND(-AF52*$AI$19,0)</f>
        <v>0</v>
      </c>
      <c r="AH52" s="598">
        <f>IF(AE52&gt;$AI$27,0,ROUND(AH51*(1+$AI$24),0))</f>
        <v>0</v>
      </c>
      <c r="AI52" s="598">
        <f>IF(AE52&gt;$AI$27,0,ROUND(AI51*(1+$AI$25),0))</f>
        <v>0</v>
      </c>
      <c r="AJ52" s="598">
        <f t="shared" si="448"/>
        <v>0</v>
      </c>
      <c r="AK52" s="598">
        <f>SUM(AF52:AJ52)</f>
        <v>0</v>
      </c>
      <c r="AL52" s="598">
        <f>IF(AE52&gt;$H$24,0,ROUND(AL51*(1+$N$32),0))</f>
        <v>0</v>
      </c>
      <c r="AM52" s="598">
        <f>SUM(AK52:AL52)</f>
        <v>0</v>
      </c>
      <c r="AN52" s="599">
        <f>AK52*(1/((1+$AI$28)^(AE52-0.5)))</f>
        <v>0</v>
      </c>
    </row>
    <row r="53" s="58" customFormat="1" ht="18" customHeight="1" hidden="1">
      <c r="X53" s="63"/>
      <c r="AC53" s="536"/>
      <c r="AE53" s="584">
        <f>AE52+1</f>
        <v>15</v>
      </c>
      <c r="AF53" s="598">
        <f>AF52*(1+$AI$23)</f>
        <v>0</v>
      </c>
      <c r="AG53" s="598">
        <f>ROUND(-AF53*$AI$19,0)</f>
        <v>0</v>
      </c>
      <c r="AH53" s="598">
        <f>IF(AE53&gt;$AI$27,0,ROUND(AH52*(1+$AI$24),0))</f>
        <v>0</v>
      </c>
      <c r="AI53" s="598">
        <f>IF(AE53&gt;$AI$27,0,ROUND(AI52*(1+$AI$25),0))</f>
        <v>0</v>
      </c>
      <c r="AJ53" s="598">
        <f t="shared" si="448"/>
        <v>0</v>
      </c>
      <c r="AK53" s="598">
        <f>SUM(AF53:AJ53)</f>
        <v>0</v>
      </c>
      <c r="AL53" s="598">
        <f>IF(AE53&gt;$H$24,0,ROUND(AL52*(1+$N$32),0))</f>
        <v>0</v>
      </c>
      <c r="AM53" s="598">
        <f>SUM(AK53:AL53)</f>
        <v>0</v>
      </c>
      <c r="AN53" s="599">
        <f>AK53*(1/((1+$AI$28)^(AE53-0.5)))</f>
        <v>0</v>
      </c>
    </row>
    <row r="54" s="58" customFormat="1" ht="18" customHeight="1" hidden="1">
      <c r="X54" s="63"/>
      <c r="AC54" s="536"/>
      <c r="AE54" s="584">
        <f>AE53+1</f>
        <v>16</v>
      </c>
      <c r="AF54" s="598">
        <f>AF53*(1+$AI$23)</f>
        <v>0</v>
      </c>
      <c r="AG54" s="598">
        <f>ROUND(-AF54*$AI$19,0)</f>
        <v>0</v>
      </c>
      <c r="AH54" s="598">
        <f>IF(AE54&gt;$AI$27,0,ROUND(AH53*(1+$AI$24),0))</f>
        <v>0</v>
      </c>
      <c r="AI54" s="598">
        <f>IF(AE54&gt;$AI$27,0,ROUND(AI53*(1+$AI$25),0))</f>
        <v>0</v>
      </c>
      <c r="AJ54" s="598">
        <f t="shared" si="478" ref="AJ54:AJ56">$AJ$135*0.033</f>
        <v>0</v>
      </c>
      <c r="AK54" s="598">
        <f>SUM(AF54:AJ54)</f>
        <v>0</v>
      </c>
      <c r="AL54" s="598">
        <f>IF(AE54&gt;$H$24,0,ROUND(AL53*(1+$N$32),0))</f>
        <v>0</v>
      </c>
      <c r="AM54" s="598">
        <f>SUM(AK54:AL54)</f>
        <v>0</v>
      </c>
      <c r="AN54" s="599">
        <f>AK54*(1/((1+$AI$28)^(AE54-0.5)))</f>
        <v>0</v>
      </c>
    </row>
    <row r="55" s="58" customFormat="1" ht="18" customHeight="1" hidden="1">
      <c r="X55" s="63"/>
      <c r="AC55" s="536"/>
      <c r="AE55" s="584">
        <f>AE54+1</f>
        <v>17</v>
      </c>
      <c r="AF55" s="598">
        <f>AF54*(1+$AI$23)</f>
        <v>0</v>
      </c>
      <c r="AG55" s="598">
        <f>ROUND(-AF55*$AI$19,0)</f>
        <v>0</v>
      </c>
      <c r="AH55" s="598">
        <f>IF(AE55&gt;$AI$27,0,ROUND(AH54*(1+$AI$24),0))</f>
        <v>0</v>
      </c>
      <c r="AI55" s="598">
        <f>IF(AE55&gt;$AI$27,0,ROUND(AI54*(1+$AI$25),0))</f>
        <v>0</v>
      </c>
      <c r="AJ55" s="598">
        <f t="shared" si="478"/>
        <v>0</v>
      </c>
      <c r="AK55" s="598">
        <f>SUM(AF55:AJ55)</f>
        <v>0</v>
      </c>
      <c r="AL55" s="598">
        <f>IF(AE55&gt;$H$24,0,ROUND(AL54*(1+$N$32),0))</f>
        <v>0</v>
      </c>
      <c r="AM55" s="598">
        <f>SUM(AK55:AL55)</f>
        <v>0</v>
      </c>
      <c r="AN55" s="599">
        <f>AK55*(1/((1+$AI$28)^(AE55-0.5)))</f>
        <v>0</v>
      </c>
    </row>
    <row r="56" s="58" customFormat="1" ht="18.75" customHeight="1" hidden="1">
      <c r="X56" s="63"/>
      <c r="AC56" s="602"/>
      <c r="AE56" s="584">
        <f>AE55+1</f>
        <v>18</v>
      </c>
      <c r="AF56" s="598">
        <f>AF55*(1+$AI$23)</f>
        <v>0</v>
      </c>
      <c r="AG56" s="598">
        <f>ROUND(-AF56*$AI$19,0)</f>
        <v>0</v>
      </c>
      <c r="AH56" s="598">
        <f>IF(AE56&gt;$AI$27,0,ROUND(AH55*(1+$AI$24),0))</f>
        <v>0</v>
      </c>
      <c r="AI56" s="598">
        <f>IF(AE56&gt;$AI$27,0,ROUND(AI55*(1+$AI$25),0))</f>
        <v>0</v>
      </c>
      <c r="AJ56" s="598">
        <f t="shared" si="478"/>
        <v>0</v>
      </c>
      <c r="AK56" s="598">
        <f>SUM(AF56:AJ56)</f>
        <v>0</v>
      </c>
      <c r="AL56" s="598">
        <f>IF(AE56&gt;$H$24,0,ROUND(AL55*(1+$N$32),0))</f>
        <v>0</v>
      </c>
      <c r="AM56" s="598">
        <f>SUM(AK56:AL56)</f>
        <v>0</v>
      </c>
      <c r="AN56" s="599">
        <f>AK56*(1/((1+$AI$28)^(AE56-0.5)))</f>
        <v>0</v>
      </c>
    </row>
    <row r="57" s="58" customFormat="1" ht="18" customHeight="1" hidden="1">
      <c r="X57" s="63"/>
      <c r="AE57" s="584">
        <f>AE56+1</f>
        <v>19</v>
      </c>
      <c r="AF57" s="598">
        <f>AF56*(1+$AI$23)</f>
        <v>0</v>
      </c>
      <c r="AG57" s="598">
        <f>ROUND(-AF57*$AI$19,0)</f>
        <v>0</v>
      </c>
      <c r="AH57" s="598">
        <f>IF(AE57&gt;$AI$27,0,ROUND(AH56*(1+$AI$24),0))</f>
        <v>0</v>
      </c>
      <c r="AI57" s="598">
        <f>IF(AE57&gt;$AI$27,0,ROUND(AI56*(1+$AI$25),0))</f>
        <v>0</v>
      </c>
      <c r="AJ57" s="598">
        <f t="shared" si="508" ref="AJ57:AJ59">$AJ$135*0.04</f>
        <v>0</v>
      </c>
      <c r="AK57" s="598">
        <f>SUM(AF57:AJ57)</f>
        <v>0</v>
      </c>
      <c r="AL57" s="598">
        <f>IF(AE57&gt;$H$24,0,ROUND(AL56*(1+$N$32),0))</f>
        <v>0</v>
      </c>
      <c r="AM57" s="598">
        <f>SUM(AK57:AL57)</f>
        <v>0</v>
      </c>
      <c r="AN57" s="599">
        <f>AK57*(1/((1+$AI$28)^(AE57-0.5)))</f>
        <v>0</v>
      </c>
    </row>
    <row r="58" s="58" customFormat="1" ht="18" customHeight="1" hidden="1">
      <c r="X58" s="63"/>
      <c r="AE58" s="584">
        <f>AE57+1</f>
        <v>20</v>
      </c>
      <c r="AF58" s="598">
        <f>AF57*(1+$AI$23)</f>
        <v>0</v>
      </c>
      <c r="AG58" s="598">
        <f>ROUND(-AF58*$AI$19,0)</f>
        <v>0</v>
      </c>
      <c r="AH58" s="598">
        <f>IF(AE58&gt;$AI$27,0,ROUND(AH57*(1+$AI$24),0))</f>
        <v>0</v>
      </c>
      <c r="AI58" s="598">
        <f>IF(AE58&gt;$AI$27,0,ROUND(AI57*(1+$AI$25),0))</f>
        <v>0</v>
      </c>
      <c r="AJ58" s="598">
        <f t="shared" si="508"/>
        <v>0</v>
      </c>
      <c r="AK58" s="598">
        <f>SUM(AF58:AJ58)</f>
        <v>0</v>
      </c>
      <c r="AL58" s="598">
        <f>IF(AE58&gt;$H$24,0,ROUND(AL57*(1+$N$32),0))</f>
        <v>0</v>
      </c>
      <c r="AM58" s="598">
        <f>SUM(AK58:AL58)</f>
        <v>0</v>
      </c>
      <c r="AN58" s="599">
        <f>AK58*(1/((1+$AI$28)^(AE58-0.5)))</f>
        <v>0</v>
      </c>
    </row>
    <row r="59" s="58" customFormat="1" ht="18" customHeight="1" hidden="1">
      <c r="X59" s="63"/>
      <c r="AE59" s="584">
        <f>AE58+1</f>
        <v>21</v>
      </c>
      <c r="AF59" s="598">
        <f>AF58*(1+$AI$23)</f>
        <v>0</v>
      </c>
      <c r="AG59" s="598">
        <f>ROUND(-AF59*$AI$19,0)</f>
        <v>0</v>
      </c>
      <c r="AH59" s="598">
        <f>IF(AE59&gt;$AI$27,0,ROUND(AH58*(1+$AI$24),0))</f>
        <v>0</v>
      </c>
      <c r="AI59" s="598">
        <f>IF(AE59&gt;$AI$27,0,ROUND(AI58*(1+$AI$25),0))</f>
        <v>0</v>
      </c>
      <c r="AJ59" s="598">
        <f t="shared" si="508"/>
        <v>0</v>
      </c>
      <c r="AK59" s="598">
        <f>SUM(AF59:AJ59)</f>
        <v>0</v>
      </c>
      <c r="AL59" s="598">
        <f>IF(AE59&gt;$H$24,0,ROUND(AL58*(1+$N$32),0))</f>
        <v>0</v>
      </c>
      <c r="AM59" s="598">
        <f>SUM(AK59:AL59)</f>
        <v>0</v>
      </c>
      <c r="AN59" s="599">
        <f>AK59*(1/((1+$AI$28)^(AE59-0.5)))</f>
        <v>0</v>
      </c>
    </row>
    <row r="60" s="58" customFormat="1" ht="18" customHeight="1" hidden="1">
      <c r="X60" s="63"/>
      <c r="AE60" s="584">
        <f>AE59+1</f>
        <v>22</v>
      </c>
      <c r="AF60" s="598">
        <f>AF59*(1+$AI$23)</f>
        <v>0</v>
      </c>
      <c r="AG60" s="598">
        <f>ROUND(-AF60*$AI$19,0)</f>
        <v>0</v>
      </c>
      <c r="AH60" s="598">
        <f>IF(AE60&gt;$AI$27,0,ROUND(AH59*(1+$AI$24),0))</f>
        <v>0</v>
      </c>
      <c r="AI60" s="598">
        <f>IF(AE60&gt;$AI$27,0,ROUND(AI59*(1+$AI$25),0))</f>
        <v>0</v>
      </c>
      <c r="AJ60" s="598">
        <f t="shared" si="538" ref="AJ60:AJ62">$AJ$135*0.048</f>
        <v>0</v>
      </c>
      <c r="AK60" s="598">
        <f>SUM(AF60:AJ60)</f>
        <v>0</v>
      </c>
      <c r="AL60" s="598">
        <f>IF(AE60&gt;$H$24,0,ROUND(AL59*(1+$N$32),0))</f>
        <v>0</v>
      </c>
      <c r="AM60" s="598">
        <f>SUM(AK60:AL60)</f>
        <v>0</v>
      </c>
      <c r="AN60" s="599">
        <f>AK60*(1/((1+$AI$28)^(AE60-0.5)))</f>
        <v>0</v>
      </c>
    </row>
    <row r="61" s="58" customFormat="1" ht="18" customHeight="1" hidden="1">
      <c r="X61" s="63"/>
      <c r="AE61" s="584">
        <f>AE60+1</f>
        <v>23</v>
      </c>
      <c r="AF61" s="598">
        <f>AF60*(1+$AI$23)</f>
        <v>0</v>
      </c>
      <c r="AG61" s="598">
        <f>ROUND(-AF61*$AI$19,0)</f>
        <v>0</v>
      </c>
      <c r="AH61" s="598">
        <f>IF(AE61&gt;$AI$27,0,ROUND(AH60*(1+$AI$24),0))</f>
        <v>0</v>
      </c>
      <c r="AI61" s="598">
        <f>IF(AE61&gt;$AI$27,0,ROUND(AI60*(1+$AI$25),0))</f>
        <v>0</v>
      </c>
      <c r="AJ61" s="598">
        <f t="shared" si="538"/>
        <v>0</v>
      </c>
      <c r="AK61" s="598">
        <f>SUM(AF61:AJ61)</f>
        <v>0</v>
      </c>
      <c r="AL61" s="598">
        <f>IF(AE61&gt;$H$24,0,ROUND(AL60*(1+$N$32),0))</f>
        <v>0</v>
      </c>
      <c r="AM61" s="598">
        <f>SUM(AK61:AL61)</f>
        <v>0</v>
      </c>
      <c r="AN61" s="599">
        <f>AK61*(1/((1+$AI$28)^(AE61-0.5)))</f>
        <v>0</v>
      </c>
    </row>
    <row r="62" s="58" customFormat="1" ht="18" customHeight="1" hidden="1">
      <c r="X62" s="63"/>
      <c r="AE62" s="584">
        <f>AE61+1</f>
        <v>24</v>
      </c>
      <c r="AF62" s="598">
        <f>AF61*(1+$AI$23)</f>
        <v>0</v>
      </c>
      <c r="AG62" s="598">
        <f>ROUND(-AF62*$AI$19,0)</f>
        <v>0</v>
      </c>
      <c r="AH62" s="598">
        <f>IF(AE62&gt;$AI$27,0,ROUND(AH61*(1+$AI$24),0))</f>
        <v>0</v>
      </c>
      <c r="AI62" s="598">
        <f>IF(AE62&gt;$AI$27,0,ROUND(AI61*(1+$AI$25),0))</f>
        <v>0</v>
      </c>
      <c r="AJ62" s="598">
        <f t="shared" si="538"/>
        <v>0</v>
      </c>
      <c r="AK62" s="598">
        <f>SUM(AF62:AJ62)</f>
        <v>0</v>
      </c>
      <c r="AL62" s="598">
        <f>IF(AE62&gt;$H$24,0,ROUND(AL61*(1+$N$32),0))</f>
        <v>0</v>
      </c>
      <c r="AM62" s="598">
        <f>SUM(AK62:AL62)</f>
        <v>0</v>
      </c>
      <c r="AN62" s="599">
        <f>AK62*(1/((1+$AI$28)^(AE62-0.5)))</f>
        <v>0</v>
      </c>
    </row>
    <row r="63" s="58" customFormat="1" ht="18" customHeight="1" hidden="1">
      <c r="X63" s="63"/>
      <c r="AE63" s="584">
        <f>AE62+1</f>
        <v>25</v>
      </c>
      <c r="AF63" s="598">
        <f>AF62*(1+$AI$23)</f>
        <v>0</v>
      </c>
      <c r="AG63" s="598">
        <f>ROUND(-AF63*$AI$19,0)</f>
        <v>0</v>
      </c>
      <c r="AH63" s="598">
        <f>IF(AE63&gt;$AI$27,0,ROUND(AH62*(1+$AI$24),0))</f>
        <v>0</v>
      </c>
      <c r="AI63" s="598">
        <f>IF(AE63&gt;$AI$27,0,ROUND(AI62*(1+$AI$25),0))</f>
        <v>0</v>
      </c>
      <c r="AJ63" s="598">
        <f t="shared" si="568" ref="AJ63:AJ65">$AJ$135*0.057</f>
        <v>0</v>
      </c>
      <c r="AK63" s="598">
        <f>SUM(AF63:AJ63)</f>
        <v>0</v>
      </c>
      <c r="AL63" s="598">
        <f>IF(AE63&gt;$H$24,0,ROUND(AL62*(1+$N$32),0))</f>
        <v>0</v>
      </c>
      <c r="AM63" s="598">
        <f>SUM(AK63:AL63)</f>
        <v>0</v>
      </c>
      <c r="AN63" s="599">
        <f>AK63*(1/((1+$AI$28)^(AE63-0.5)))</f>
        <v>0</v>
      </c>
    </row>
    <row r="64" s="58" customFormat="1" ht="18" customHeight="1" hidden="1">
      <c r="X64" s="63"/>
      <c r="AE64" s="584">
        <f>AE63+1</f>
        <v>26</v>
      </c>
      <c r="AF64" s="598">
        <f>AF63*(1+$AI$23)</f>
        <v>0</v>
      </c>
      <c r="AG64" s="598">
        <f>ROUND(-AF64*$AI$19,0)</f>
        <v>0</v>
      </c>
      <c r="AH64" s="598">
        <f>IF(AE64&gt;$AI$27,0,ROUND(AH63*(1+$AI$24),0))</f>
        <v>0</v>
      </c>
      <c r="AI64" s="598">
        <f>IF(AE64&gt;$AI$27,0,ROUND(AI63*(1+$AI$25),0))</f>
        <v>0</v>
      </c>
      <c r="AJ64" s="598">
        <f t="shared" si="568"/>
        <v>0</v>
      </c>
      <c r="AK64" s="598">
        <f>SUM(AF64:AJ64)</f>
        <v>0</v>
      </c>
      <c r="AL64" s="598">
        <f>IF(AE64&gt;$H$24,0,ROUND(AL63*(1+$N$32),0))</f>
        <v>0</v>
      </c>
      <c r="AM64" s="598">
        <f>SUM(AK64:AL64)</f>
        <v>0</v>
      </c>
      <c r="AN64" s="599">
        <f>AK64*(1/((1+$AI$28)^(AE64-0.5)))</f>
        <v>0</v>
      </c>
    </row>
    <row r="65" s="58" customFormat="1" ht="18" customHeight="1" hidden="1">
      <c r="X65" s="63"/>
      <c r="AE65" s="584">
        <f>AE64+1</f>
        <v>27</v>
      </c>
      <c r="AF65" s="598">
        <f>AF64*(1+$AI$23)</f>
        <v>0</v>
      </c>
      <c r="AG65" s="598">
        <f>ROUND(-AF65*$AI$19,0)</f>
        <v>0</v>
      </c>
      <c r="AH65" s="598">
        <f>IF(AE65&gt;$AI$27,0,ROUND(AH64*(1+$AI$24),0))</f>
        <v>0</v>
      </c>
      <c r="AI65" s="598">
        <f>IF(AE65&gt;$AI$27,0,ROUND(AI64*(1+$AI$25),0))</f>
        <v>0</v>
      </c>
      <c r="AJ65" s="598">
        <f t="shared" si="568"/>
        <v>0</v>
      </c>
      <c r="AK65" s="598">
        <f>SUM(AF65:AJ65)</f>
        <v>0</v>
      </c>
      <c r="AL65" s="598">
        <f>IF(AE65&gt;$H$24,0,ROUND(AL64*(1+$N$32),0))</f>
        <v>0</v>
      </c>
      <c r="AM65" s="598">
        <f>SUM(AK65:AL65)</f>
        <v>0</v>
      </c>
      <c r="AN65" s="599">
        <f>AK65*(1/((1+$AI$28)^(AE65-0.5)))</f>
        <v>0</v>
      </c>
    </row>
    <row r="66" s="58" customFormat="1" ht="18" customHeight="1" hidden="1">
      <c r="X66" s="63"/>
      <c r="AE66" s="584">
        <f>AE65+1</f>
        <v>28</v>
      </c>
      <c r="AF66" s="598">
        <f>AF65*(1+$AI$23)</f>
        <v>0</v>
      </c>
      <c r="AG66" s="598">
        <f>ROUND(-AF66*$AI$19,0)</f>
        <v>0</v>
      </c>
      <c r="AH66" s="598">
        <f>IF(AE66&gt;$AI$27,0,ROUND(AH65*(1+$AI$24),0))</f>
        <v>0</v>
      </c>
      <c r="AI66" s="598">
        <f>IF(AE66&gt;$AI$27,0,ROUND(AI65*(1+$AI$25),0))</f>
        <v>0</v>
      </c>
      <c r="AJ66" s="598">
        <f t="shared" si="598" ref="AJ66:AJ67">$AJ$135*0.069</f>
        <v>0</v>
      </c>
      <c r="AK66" s="598">
        <f>SUM(AF66:AJ66)</f>
        <v>0</v>
      </c>
      <c r="AL66" s="598">
        <f>IF(AE66&gt;$H$24,0,ROUND(AL65*(1+$N$32),0))</f>
        <v>0</v>
      </c>
      <c r="AM66" s="598">
        <f>SUM(AK66:AL66)</f>
        <v>0</v>
      </c>
      <c r="AN66" s="599">
        <f>AK66*(1/((1+$AI$28)^(AE66-0.5)))</f>
        <v>0</v>
      </c>
    </row>
    <row r="67" s="58" customFormat="1" ht="18" customHeight="1" hidden="1">
      <c r="X67" s="63"/>
      <c r="AE67" s="584">
        <f>AE66+1</f>
        <v>29</v>
      </c>
      <c r="AF67" s="598">
        <f>AF66*(1+$AI$23)</f>
        <v>0</v>
      </c>
      <c r="AG67" s="598">
        <f>ROUND(-AF67*$AI$19,0)</f>
        <v>0</v>
      </c>
      <c r="AH67" s="598">
        <f>IF(AE67&gt;$AI$27,0,ROUND(AH66*(1+$AI$24),0))</f>
        <v>0</v>
      </c>
      <c r="AI67" s="598">
        <f>IF(AE67&gt;$AI$27,0,ROUND(AI66*(1+$AI$25),0))</f>
        <v>0</v>
      </c>
      <c r="AJ67" s="598">
        <f t="shared" si="598"/>
        <v>0</v>
      </c>
      <c r="AK67" s="598">
        <f>SUM(AF67:AJ67)</f>
        <v>0</v>
      </c>
      <c r="AL67" s="598">
        <f>IF(AE67&gt;$H$24,0,ROUND(AL66*(1+$N$32),0))</f>
        <v>0</v>
      </c>
      <c r="AM67" s="598">
        <f>SUM(AK67:AL67)</f>
        <v>0</v>
      </c>
      <c r="AN67" s="599">
        <f>AK67*(1/((1+$AI$28)^(AE67-0.5)))</f>
        <v>0</v>
      </c>
    </row>
    <row r="68" s="58" customFormat="1" ht="18" customHeight="1" hidden="1">
      <c r="X68" s="63"/>
      <c r="AE68" s="584">
        <f>AE67+1</f>
        <v>30</v>
      </c>
      <c r="AF68" s="598">
        <f>AF67*(1+$AI$23)</f>
        <v>0</v>
      </c>
      <c r="AG68" s="598">
        <f>ROUND(-AF68*$AI$19,0)</f>
        <v>0</v>
      </c>
      <c r="AH68" s="598">
        <f>IF(AE68&gt;$AI$27,0,ROUND(AH67*(1+$AI$24),0))</f>
        <v>0</v>
      </c>
      <c r="AI68" s="598">
        <f>IF(AE68&gt;$AI$27,0,ROUND(AI67*(1+$AI$25),0))</f>
        <v>0</v>
      </c>
      <c r="AJ68" s="598">
        <f>$AJ$135*0.07</f>
        <v>0</v>
      </c>
      <c r="AK68" s="598">
        <f>SUM(AF68:AJ68)</f>
        <v>0</v>
      </c>
      <c r="AL68" s="598">
        <f>AN134*0.1</f>
        <v>0</v>
      </c>
      <c r="AM68" s="598">
        <f>SUM(AK68:AL68)</f>
        <v>0</v>
      </c>
      <c r="AN68" s="599">
        <f>AM68*(1/((1+$AI$28)^(AE68-0.5)))</f>
        <v>0</v>
      </c>
    </row>
    <row r="69" s="58" customFormat="1" ht="18" customHeight="1" hidden="1">
      <c r="X69" s="63"/>
      <c r="AE69" s="584">
        <v>31</v>
      </c>
      <c r="AF69" s="598">
        <f>AF68*(1+$AI$23)</f>
        <v>0</v>
      </c>
      <c r="AG69" s="598">
        <f>ROUND(-AF69*$AI$19,0)</f>
        <v>0</v>
      </c>
      <c r="AH69" s="598">
        <f>IF(AE69&gt;$AI$27,0,ROUND(AH68*(1+$AI$24),0))</f>
        <v>0</v>
      </c>
      <c r="AI69" s="598">
        <f>IF(AE69&gt;$AI$27,0,ROUND(AI68*(1+$AI$25),0))</f>
        <v>0</v>
      </c>
      <c r="AJ69" s="598">
        <f>-3896*AI17</f>
        <v>0</v>
      </c>
      <c r="AK69" s="598">
        <f>SUM(AF69:AJ69)</f>
        <v>0</v>
      </c>
      <c r="AL69" s="598">
        <v>0</v>
      </c>
      <c r="AM69" s="598">
        <f>SUM(AK69:AL69)*0.5*0.9</f>
        <v>0</v>
      </c>
      <c r="AN69" s="599">
        <f>AM69*(1/((1+$AI$28)^(AE69-0.5)))</f>
        <v>0</v>
      </c>
    </row>
    <row r="70" s="58" customFormat="1" ht="18" customHeight="1" hidden="1">
      <c r="X70" s="63"/>
      <c r="AE70" s="584">
        <v>32</v>
      </c>
      <c r="AF70" s="598">
        <f>AF69*(1+$AI$23)</f>
        <v>0</v>
      </c>
      <c r="AG70" s="598">
        <f>ROUND(-AF70*$AI$19,0)</f>
        <v>0</v>
      </c>
      <c r="AH70" s="598">
        <f>IF(AE70&gt;$AI$27,0,ROUND(AH69*(1+$AI$24),0))</f>
        <v>0</v>
      </c>
      <c r="AI70" s="598">
        <f>IF(AE70&gt;$AI$27,0,ROUND(AI69*(1+$AI$25),0))</f>
        <v>0</v>
      </c>
      <c r="AJ70" s="598">
        <f>AJ69*1.03</f>
        <v>0</v>
      </c>
      <c r="AK70" s="598">
        <f>SUM(AF70:AJ70)</f>
        <v>0</v>
      </c>
      <c r="AL70" s="598">
        <v>0</v>
      </c>
      <c r="AM70" s="598">
        <f>SUM(AK70:AL70)*0.5*0.9</f>
        <v>0</v>
      </c>
      <c r="AN70" s="599">
        <f>AM70*(1/((1+$AI$28)^(AE70-0.5)))</f>
        <v>0</v>
      </c>
    </row>
    <row r="71" s="58" customFormat="1" ht="18" customHeight="1" hidden="1">
      <c r="X71" s="63"/>
      <c r="AE71" s="584">
        <v>33</v>
      </c>
      <c r="AF71" s="598">
        <f>AF70*(1+$AI$23)</f>
        <v>0</v>
      </c>
      <c r="AG71" s="598">
        <f>ROUND(-AF71*$AI$19,0)</f>
        <v>0</v>
      </c>
      <c r="AH71" s="598">
        <f>IF(AE71&gt;$AI$27,0,ROUND(AH70*(1+$AI$24),0))</f>
        <v>0</v>
      </c>
      <c r="AI71" s="598">
        <f>IF(AE71&gt;$AI$27,0,ROUND(AI70*(1+$AI$25),0))</f>
        <v>0</v>
      </c>
      <c r="AJ71" s="598">
        <f>AJ70*1.03</f>
        <v>0</v>
      </c>
      <c r="AK71" s="598">
        <f>SUM(AF71:AJ71)</f>
        <v>0</v>
      </c>
      <c r="AL71" s="598">
        <v>0</v>
      </c>
      <c r="AM71" s="598">
        <f>SUM(AK71:AL71)*0.5*0.9</f>
        <v>0</v>
      </c>
      <c r="AN71" s="599">
        <f>AM71*(1/((1+$AI$28)^(AE71-0.5)))</f>
        <v>0</v>
      </c>
    </row>
    <row r="72" s="58" customFormat="1" ht="18" customHeight="1" hidden="1">
      <c r="X72" s="63"/>
      <c r="AE72" s="584">
        <v>34</v>
      </c>
      <c r="AF72" s="598">
        <f>AF71*(1+$AI$23)</f>
        <v>0</v>
      </c>
      <c r="AG72" s="598">
        <f>ROUND(-AF72*$AI$19,0)</f>
        <v>0</v>
      </c>
      <c r="AH72" s="598">
        <f>IF(AE72&gt;$AI$27,0,ROUND(AH71*(1+$AI$24),0))</f>
        <v>0</v>
      </c>
      <c r="AI72" s="598">
        <f>IF(AE72&gt;$AI$27,0,ROUND(AI71*(1+$AI$25),0))</f>
        <v>0</v>
      </c>
      <c r="AJ72" s="598">
        <f>AJ71*1.03</f>
        <v>0</v>
      </c>
      <c r="AK72" s="598">
        <f>SUM(AF72:AJ72)</f>
        <v>0</v>
      </c>
      <c r="AL72" s="598">
        <v>0</v>
      </c>
      <c r="AM72" s="598">
        <f>SUM(AK72:AL72)*0.5*0.9</f>
        <v>0</v>
      </c>
      <c r="AN72" s="599">
        <f>AM72*(1/((1+$AI$28)^(AE72-0.5)))</f>
        <v>0</v>
      </c>
    </row>
    <row r="73" s="58" customFormat="1" ht="18" customHeight="1" hidden="1">
      <c r="X73" s="63"/>
      <c r="AE73" s="584">
        <v>35</v>
      </c>
      <c r="AF73" s="598">
        <f>AF72*(1+$AI$23)</f>
        <v>0</v>
      </c>
      <c r="AG73" s="598">
        <f>ROUND(-AF73*$AI$19,0)</f>
        <v>0</v>
      </c>
      <c r="AH73" s="598">
        <f>IF(AE73&gt;$AI$27,0,ROUND(AH72*(1+$AI$24),0))</f>
        <v>0</v>
      </c>
      <c r="AI73" s="598">
        <f>IF(AE73&gt;$AI$27,0,ROUND(AI72*(1+$AI$25),0))</f>
        <v>0</v>
      </c>
      <c r="AJ73" s="598">
        <f>AJ72*1.03</f>
        <v>0</v>
      </c>
      <c r="AK73" s="598">
        <f>SUM(AF73:AJ73)</f>
        <v>0</v>
      </c>
      <c r="AL73" s="598">
        <v>0</v>
      </c>
      <c r="AM73" s="598">
        <f>SUM(AK73:AL73)*0.5*0.9</f>
        <v>0</v>
      </c>
      <c r="AN73" s="599">
        <f>AM73*(1/((1+$AI$28)^(AE73-0.5)))</f>
        <v>0</v>
      </c>
    </row>
    <row r="74" s="58" customFormat="1" ht="18" customHeight="1" hidden="1">
      <c r="X74" s="63"/>
      <c r="AE74" s="584">
        <v>36</v>
      </c>
      <c r="AF74" s="598">
        <f>AF73*(1+$AI$23)</f>
        <v>0</v>
      </c>
      <c r="AG74" s="598">
        <f>ROUND(-AF74*$AI$19,0)</f>
        <v>0</v>
      </c>
      <c r="AH74" s="598">
        <f>IF(AE74&gt;$AI$27,0,ROUND(AH73*(1+$AI$24),0))</f>
        <v>0</v>
      </c>
      <c r="AI74" s="598">
        <f>IF(AE74&gt;$AI$27,0,ROUND(AI73*(1+$AI$25),0))</f>
        <v>0</v>
      </c>
      <c r="AJ74" s="598">
        <f>AJ73*1.03</f>
        <v>0</v>
      </c>
      <c r="AK74" s="598">
        <f>SUM(AF74:AJ74)</f>
        <v>0</v>
      </c>
      <c r="AL74" s="598">
        <v>0</v>
      </c>
      <c r="AM74" s="598">
        <f>SUM(AK74:AL74)*0.5*0.9</f>
        <v>0</v>
      </c>
      <c r="AN74" s="599">
        <f>AM74*(1/((1+$AI$28)^(AE74-0.5)))</f>
        <v>0</v>
      </c>
    </row>
    <row r="75" s="58" customFormat="1" ht="18" customHeight="1" hidden="1">
      <c r="X75" s="63"/>
      <c r="AE75" s="584">
        <v>37</v>
      </c>
      <c r="AF75" s="598">
        <f>AF74*(1+$AI$23)</f>
        <v>0</v>
      </c>
      <c r="AG75" s="598">
        <f>ROUND(-AF75*$AI$19,0)</f>
        <v>0</v>
      </c>
      <c r="AH75" s="598">
        <f>IF(AE75&gt;$AI$27,0,ROUND(AH74*(1+$AI$24),0))</f>
        <v>0</v>
      </c>
      <c r="AI75" s="598">
        <f>IF(AE75&gt;$AI$27,0,ROUND(AI74*(1+$AI$25),0))</f>
        <v>0</v>
      </c>
      <c r="AJ75" s="598">
        <f>AJ74*1.03</f>
        <v>0</v>
      </c>
      <c r="AK75" s="598">
        <f>SUM(AF75:AJ75)</f>
        <v>0</v>
      </c>
      <c r="AL75" s="598">
        <v>0</v>
      </c>
      <c r="AM75" s="598">
        <f>SUM(AK75:AL75)*0.5*0.9</f>
        <v>0</v>
      </c>
      <c r="AN75" s="599">
        <f>AM75*(1/((1+$AI$28)^(AE75-0.5)))</f>
        <v>0</v>
      </c>
    </row>
    <row r="76" s="58" customFormat="1" ht="18" customHeight="1" hidden="1">
      <c r="X76" s="63"/>
      <c r="AE76" s="584">
        <v>38</v>
      </c>
      <c r="AF76" s="598">
        <f>AF75*(1+$AI$23)</f>
        <v>0</v>
      </c>
      <c r="AG76" s="598">
        <f>ROUND(-AF76*$AI$19,0)</f>
        <v>0</v>
      </c>
      <c r="AH76" s="598">
        <f>IF(AE76&gt;$AI$27,0,ROUND(AH75*(1+$AI$24),0))</f>
        <v>0</v>
      </c>
      <c r="AI76" s="598">
        <f>IF(AE76&gt;$AI$27,0,ROUND(AI75*(1+$AI$25),0))</f>
        <v>0</v>
      </c>
      <c r="AJ76" s="598">
        <f>AJ75*1.03</f>
        <v>0</v>
      </c>
      <c r="AK76" s="598">
        <f>SUM(AF76:AJ76)</f>
        <v>0</v>
      </c>
      <c r="AL76" s="598">
        <v>0</v>
      </c>
      <c r="AM76" s="598">
        <f>SUM(AK76:AL76)*0.5*0.9</f>
        <v>0</v>
      </c>
      <c r="AN76" s="599">
        <f>AM76*(1/((1+$AI$28)^(AE76-0.5)))</f>
        <v>0</v>
      </c>
    </row>
    <row r="77" s="58" customFormat="1" ht="18" customHeight="1" hidden="1">
      <c r="X77" s="63"/>
      <c r="AE77" s="584">
        <v>39</v>
      </c>
      <c r="AF77" s="598">
        <f>AF76*(1+$AI$23)</f>
        <v>0</v>
      </c>
      <c r="AG77" s="598">
        <f>ROUND(-AF77*$AI$19,0)</f>
        <v>0</v>
      </c>
      <c r="AH77" s="598">
        <f>IF(AE77&gt;$AI$27,0,ROUND(AH76*(1+$AI$24),0))</f>
        <v>0</v>
      </c>
      <c r="AI77" s="598">
        <f>IF(AE77&gt;$AI$27,0,ROUND(AI76*(1+$AI$25),0))</f>
        <v>0</v>
      </c>
      <c r="AJ77" s="598">
        <f>AJ76*1.03</f>
        <v>0</v>
      </c>
      <c r="AK77" s="598">
        <f>SUM(AF77:AJ77)</f>
        <v>0</v>
      </c>
      <c r="AL77" s="598">
        <v>0</v>
      </c>
      <c r="AM77" s="598">
        <f>SUM(AK77:AL77)*0.5*0.9</f>
        <v>0</v>
      </c>
      <c r="AN77" s="599">
        <f>AM77*(1/((1+$AI$28)^(AE77-0.5)))</f>
        <v>0</v>
      </c>
    </row>
    <row r="78" s="58" customFormat="1" ht="18" customHeight="1" hidden="1">
      <c r="X78" s="63"/>
      <c r="AE78" s="584">
        <v>40</v>
      </c>
      <c r="AF78" s="598">
        <f>AF77*(1+$AI$23)</f>
        <v>0</v>
      </c>
      <c r="AG78" s="598">
        <f>ROUND(-AF78*$AI$19,0)</f>
        <v>0</v>
      </c>
      <c r="AH78" s="598">
        <f>IF(AE78&gt;$AI$27,0,ROUND(AH77*(1+$AI$24),0))</f>
        <v>0</v>
      </c>
      <c r="AI78" s="598">
        <f>IF(AE78&gt;$AI$27,0,ROUND(AI77*(1+$AI$25),0))</f>
        <v>0</v>
      </c>
      <c r="AJ78" s="598">
        <f>AJ77*1.03</f>
        <v>0</v>
      </c>
      <c r="AK78" s="598">
        <f>SUM(AF78:AJ78)</f>
        <v>0</v>
      </c>
      <c r="AL78" s="598">
        <v>0</v>
      </c>
      <c r="AM78" s="598">
        <f>SUM(AK78:AL78)*0.5*0.9</f>
        <v>0</v>
      </c>
      <c r="AN78" s="599">
        <f>AM78*(1/((1+$AI$28)^(AE78-0.5)))</f>
        <v>0</v>
      </c>
    </row>
    <row r="79" s="58" customFormat="1" ht="18" customHeight="1" hidden="1">
      <c r="X79" s="63"/>
      <c r="AE79" s="584">
        <v>41</v>
      </c>
      <c r="AF79" s="598">
        <f>AF78*(1+$AI$23)</f>
        <v>0</v>
      </c>
      <c r="AG79" s="598">
        <f>ROUND(-AF79*$AI$19,0)</f>
        <v>0</v>
      </c>
      <c r="AH79" s="598">
        <f>IF(AE79&gt;$AI$27,0,ROUND(AH78*(1+$AI$24),0))</f>
        <v>0</v>
      </c>
      <c r="AI79" s="598">
        <f>IF(AE79&gt;$AI$27,0,ROUND(AI78*(1+$AI$25),0))</f>
        <v>0</v>
      </c>
      <c r="AJ79" s="598">
        <f>AJ78*1.03</f>
        <v>0</v>
      </c>
      <c r="AK79" s="598">
        <f>SUM(AF79:AJ79)</f>
        <v>0</v>
      </c>
      <c r="AL79" s="598">
        <v>0</v>
      </c>
      <c r="AM79" s="598">
        <f>SUM(AK79:AL79)*0.5*0.9</f>
        <v>0</v>
      </c>
      <c r="AN79" s="599">
        <f>AM79*(1/((1+$AI$28)^(AE79-0.5)))</f>
        <v>0</v>
      </c>
    </row>
    <row r="80" s="58" customFormat="1" ht="18" customHeight="1" hidden="1">
      <c r="X80" s="63"/>
      <c r="AE80" s="584">
        <v>42</v>
      </c>
      <c r="AF80" s="598">
        <f>AF79*(1+$AI$23)</f>
        <v>0</v>
      </c>
      <c r="AG80" s="598">
        <f>ROUND(-AF80*$AI$19,0)</f>
        <v>0</v>
      </c>
      <c r="AH80" s="598">
        <f>IF(AE80&gt;$AI$27,0,ROUND(AH79*(1+$AI$24),0))</f>
        <v>0</v>
      </c>
      <c r="AI80" s="598">
        <f>IF(AE80&gt;$AI$27,0,ROUND(AI79*(1+$AI$25),0))</f>
        <v>0</v>
      </c>
      <c r="AJ80" s="598">
        <f>AJ79*1.03</f>
        <v>0</v>
      </c>
      <c r="AK80" s="598">
        <f>SUM(AF80:AJ80)</f>
        <v>0</v>
      </c>
      <c r="AL80" s="598">
        <v>0</v>
      </c>
      <c r="AM80" s="598">
        <f>SUM(AK80:AL80)*0.5*0.9</f>
        <v>0</v>
      </c>
      <c r="AN80" s="599">
        <f>AM80*(1/((1+$AI$28)^(AE80-0.5)))</f>
        <v>0</v>
      </c>
    </row>
    <row r="81" s="58" customFormat="1" ht="18" customHeight="1" hidden="1">
      <c r="X81" s="63"/>
      <c r="AE81" s="584">
        <v>43</v>
      </c>
      <c r="AF81" s="598">
        <f>AF80*(1+$AI$23)</f>
        <v>0</v>
      </c>
      <c r="AG81" s="598">
        <f>ROUND(-AF81*$AI$19,0)</f>
        <v>0</v>
      </c>
      <c r="AH81" s="598">
        <f>IF(AE81&gt;$AI$27,0,ROUND(AH80*(1+$AI$24),0))</f>
        <v>0</v>
      </c>
      <c r="AI81" s="598">
        <f>IF(AE81&gt;$AI$27,0,ROUND(AI80*(1+$AI$25),0))</f>
        <v>0</v>
      </c>
      <c r="AJ81" s="598">
        <f>AJ80*1.03</f>
        <v>0</v>
      </c>
      <c r="AK81" s="598">
        <f>SUM(AF81:AJ81)</f>
        <v>0</v>
      </c>
      <c r="AL81" s="598">
        <v>0</v>
      </c>
      <c r="AM81" s="598">
        <f>SUM(AK81:AL81)*0.5*0.9</f>
        <v>0</v>
      </c>
      <c r="AN81" s="599">
        <f>AM81*(1/((1+$AI$28)^(AE81-0.5)))</f>
        <v>0</v>
      </c>
    </row>
    <row r="82" s="58" customFormat="1" ht="18" customHeight="1" hidden="1">
      <c r="X82" s="63"/>
      <c r="AE82" s="584">
        <v>44</v>
      </c>
      <c r="AF82" s="598">
        <f>AF81*(1+$AI$23)</f>
        <v>0</v>
      </c>
      <c r="AG82" s="598">
        <f>ROUND(-AF82*$AI$19,0)</f>
        <v>0</v>
      </c>
      <c r="AH82" s="598">
        <f>IF(AE82&gt;$AI$27,0,ROUND(AH81*(1+$AI$24),0))</f>
        <v>0</v>
      </c>
      <c r="AI82" s="598">
        <f>IF(AE82&gt;$AI$27,0,ROUND(AI81*(1+$AI$25),0))</f>
        <v>0</v>
      </c>
      <c r="AJ82" s="598">
        <f>AJ81*1.03</f>
        <v>0</v>
      </c>
      <c r="AK82" s="598">
        <f>SUM(AF82:AJ82)</f>
        <v>0</v>
      </c>
      <c r="AL82" s="598">
        <v>0</v>
      </c>
      <c r="AM82" s="598">
        <f>SUM(AK82:AL82)*0.5*0.9</f>
        <v>0</v>
      </c>
      <c r="AN82" s="599">
        <f>AM82*(1/((1+$AI$28)^(AE82-0.5)))</f>
        <v>0</v>
      </c>
    </row>
    <row r="83" s="58" customFormat="1" ht="18" customHeight="1" hidden="1">
      <c r="X83" s="63"/>
      <c r="AE83" s="584">
        <v>45</v>
      </c>
      <c r="AF83" s="598">
        <f>AF82*(1+$AI$23)</f>
        <v>0</v>
      </c>
      <c r="AG83" s="598">
        <f>ROUND(-AF83*$AI$19,0)</f>
        <v>0</v>
      </c>
      <c r="AH83" s="598">
        <f>IF(AE83&gt;$AI$27,0,ROUND(AH82*(1+$AI$24),0))</f>
        <v>0</v>
      </c>
      <c r="AI83" s="598">
        <f>IF(AE83&gt;$AI$27,0,ROUND(AI82*(1+$AI$25),0))</f>
        <v>0</v>
      </c>
      <c r="AJ83" s="598">
        <f>AJ82*1.03</f>
        <v>0</v>
      </c>
      <c r="AK83" s="598">
        <f>SUM(AF83:AJ83)</f>
        <v>0</v>
      </c>
      <c r="AL83" s="598">
        <v>0</v>
      </c>
      <c r="AM83" s="598">
        <f>SUM(AK83:AL83)*0.5*0.9</f>
        <v>0</v>
      </c>
      <c r="AN83" s="599">
        <f>AM83*(1/((1+$AI$28)^(AE83-0.5)))</f>
        <v>0</v>
      </c>
    </row>
    <row r="84" s="58" customFormat="1" ht="18" customHeight="1" hidden="1">
      <c r="X84" s="63"/>
      <c r="AE84" s="584">
        <v>46</v>
      </c>
      <c r="AF84" s="598">
        <f>AF83*(1+$AI$23)</f>
        <v>0</v>
      </c>
      <c r="AG84" s="598">
        <f>ROUND(-AF84*$AI$19,0)</f>
        <v>0</v>
      </c>
      <c r="AH84" s="598">
        <f>IF(AE84&gt;$AI$27,0,ROUND(AH83*(1+$AI$24),0))</f>
        <v>0</v>
      </c>
      <c r="AI84" s="598">
        <f>IF(AE84&gt;$AI$27,0,ROUND(AI83*(1+$AI$25),0))</f>
        <v>0</v>
      </c>
      <c r="AJ84" s="598">
        <f>AJ83*1.03</f>
        <v>0</v>
      </c>
      <c r="AK84" s="598">
        <f>SUM(AF84:AJ84)</f>
        <v>0</v>
      </c>
      <c r="AL84" s="598">
        <v>0</v>
      </c>
      <c r="AM84" s="598">
        <f>SUM(AK84:AL84)*0.5*0.9</f>
        <v>0</v>
      </c>
      <c r="AN84" s="599">
        <f>AM84*(1/((1+$AI$28)^(AE84-0.5)))</f>
        <v>0</v>
      </c>
    </row>
    <row r="85" s="58" customFormat="1" ht="18" customHeight="1" hidden="1">
      <c r="X85" s="63"/>
      <c r="AE85" s="584">
        <v>47</v>
      </c>
      <c r="AF85" s="598">
        <f>AF84*(1+$AI$23)</f>
        <v>0</v>
      </c>
      <c r="AG85" s="598">
        <f>ROUND(-AF85*$AI$19,0)</f>
        <v>0</v>
      </c>
      <c r="AH85" s="598">
        <f>IF(AE85&gt;$AI$27,0,ROUND(AH84*(1+$AI$24),0))</f>
        <v>0</v>
      </c>
      <c r="AI85" s="598">
        <f>IF(AE85&gt;$AI$27,0,ROUND(AI84*(1+$AI$25),0))</f>
        <v>0</v>
      </c>
      <c r="AJ85" s="598">
        <f>AJ84*1.03</f>
        <v>0</v>
      </c>
      <c r="AK85" s="598">
        <f>SUM(AF85:AJ85)</f>
        <v>0</v>
      </c>
      <c r="AL85" s="598">
        <v>0</v>
      </c>
      <c r="AM85" s="598">
        <f>SUM(AK85:AL85)*0.5*0.9</f>
        <v>0</v>
      </c>
      <c r="AN85" s="599">
        <f>AM85*(1/((1+$AI$28)^(AE85-0.5)))</f>
        <v>0</v>
      </c>
    </row>
    <row r="86" s="58" customFormat="1" ht="18" customHeight="1" hidden="1">
      <c r="X86" s="63"/>
      <c r="AE86" s="584">
        <v>48</v>
      </c>
      <c r="AF86" s="598">
        <f>AF85*(1+$AI$23)</f>
        <v>0</v>
      </c>
      <c r="AG86" s="598">
        <f>ROUND(-AF86*$AI$19,0)</f>
        <v>0</v>
      </c>
      <c r="AH86" s="598">
        <f>IF(AE86&gt;$AI$27,0,ROUND(AH85*(1+$AI$24),0))</f>
        <v>0</v>
      </c>
      <c r="AI86" s="598">
        <f>IF(AE86&gt;$AI$27,0,ROUND(AI85*(1+$AI$25),0))</f>
        <v>0</v>
      </c>
      <c r="AJ86" s="598">
        <f>AJ85*1.03</f>
        <v>0</v>
      </c>
      <c r="AK86" s="598">
        <f>SUM(AF86:AJ86)</f>
        <v>0</v>
      </c>
      <c r="AL86" s="598">
        <v>0</v>
      </c>
      <c r="AM86" s="598">
        <f>SUM(AK86:AL86)*0.5*0.9</f>
        <v>0</v>
      </c>
      <c r="AN86" s="599">
        <f>AM86*(1/((1+$AI$28)^(AE86-0.5)))</f>
        <v>0</v>
      </c>
    </row>
    <row r="87" s="58" customFormat="1" ht="18" customHeight="1" hidden="1">
      <c r="X87" s="63"/>
      <c r="AE87" s="584">
        <v>49</v>
      </c>
      <c r="AF87" s="598">
        <f>AF86*(1+$AI$23)</f>
        <v>0</v>
      </c>
      <c r="AG87" s="598">
        <f>ROUND(-AF87*$AI$19,0)</f>
        <v>0</v>
      </c>
      <c r="AH87" s="598">
        <f>IF(AE87&gt;$AI$27,0,ROUND(AH86*(1+$AI$24),0))</f>
        <v>0</v>
      </c>
      <c r="AI87" s="598">
        <f>IF(AE87&gt;$AI$27,0,ROUND(AI86*(1+$AI$25),0))</f>
        <v>0</v>
      </c>
      <c r="AJ87" s="598">
        <f>AJ86*1.03</f>
        <v>0</v>
      </c>
      <c r="AK87" s="598">
        <f>SUM(AF87:AJ87)</f>
        <v>0</v>
      </c>
      <c r="AL87" s="598">
        <v>0</v>
      </c>
      <c r="AM87" s="598">
        <f>SUM(AK87:AL87)*0.5*0.9</f>
        <v>0</v>
      </c>
      <c r="AN87" s="599">
        <f>AM87*(1/((1+$AI$28)^(AE87-0.5)))</f>
        <v>0</v>
      </c>
    </row>
    <row r="88" s="58" customFormat="1" ht="18" customHeight="1" hidden="1">
      <c r="X88" s="63"/>
      <c r="AE88" s="584">
        <v>50</v>
      </c>
      <c r="AF88" s="598">
        <f>AF87*(1+$AI$23)</f>
        <v>0</v>
      </c>
      <c r="AG88" s="598">
        <f>ROUND(-AF88*$AI$19,0)</f>
        <v>0</v>
      </c>
      <c r="AH88" s="598">
        <f>IF(AE88&gt;$AI$27,0,ROUND(AH87*(1+$AI$24),0))</f>
        <v>0</v>
      </c>
      <c r="AI88" s="598">
        <f>IF(AE88&gt;$AI$27,0,ROUND(AI87*(1+$AI$25),0))</f>
        <v>0</v>
      </c>
      <c r="AJ88" s="598">
        <f>AJ87*1.03</f>
        <v>0</v>
      </c>
      <c r="AK88" s="598">
        <f>SUM(AF88:AJ88)</f>
        <v>0</v>
      </c>
      <c r="AL88" s="598">
        <v>0</v>
      </c>
      <c r="AM88" s="598">
        <f>SUM(AK88:AL88)*0.5*0.9</f>
        <v>0</v>
      </c>
      <c r="AN88" s="599">
        <f>AM88*(1/((1+$AI$28)^(AE88-0.5)))</f>
        <v>0</v>
      </c>
    </row>
    <row r="89" s="58" customFormat="1" ht="18" customHeight="1" hidden="1">
      <c r="X89" s="63"/>
      <c r="AE89" s="584">
        <v>51</v>
      </c>
      <c r="AF89" s="598">
        <f>AF88*(1+$AI$23)</f>
        <v>0</v>
      </c>
      <c r="AG89" s="598">
        <f>ROUND(-AF89*$AI$19,0)</f>
        <v>0</v>
      </c>
      <c r="AH89" s="598">
        <f>IF(AE89&gt;$AI$27,0,ROUND(AH88*(1+$AI$24),0))</f>
        <v>0</v>
      </c>
      <c r="AI89" s="598">
        <f>IF(AE89&gt;$AI$27,0,ROUND(AI88*(1+$AI$25),0))</f>
        <v>0</v>
      </c>
      <c r="AJ89" s="598">
        <f>AJ88*1.03</f>
        <v>0</v>
      </c>
      <c r="AK89" s="598">
        <f>SUM(AF89:AJ89)</f>
        <v>0</v>
      </c>
      <c r="AL89" s="598">
        <v>0</v>
      </c>
      <c r="AM89" s="598">
        <f>SUM(AK89:AL89)*0.5*0.9</f>
        <v>0</v>
      </c>
      <c r="AN89" s="599">
        <f>AM89*(1/((1+$AI$28)^(AE89-0.5)))</f>
        <v>0</v>
      </c>
    </row>
    <row r="90" s="58" customFormat="1" ht="18" customHeight="1" hidden="1">
      <c r="X90" s="63"/>
      <c r="AE90" s="584">
        <v>52</v>
      </c>
      <c r="AF90" s="598">
        <f>AF89*(1+$AI$23)</f>
        <v>0</v>
      </c>
      <c r="AG90" s="598">
        <f>ROUND(-AF90*$AI$19,0)</f>
        <v>0</v>
      </c>
      <c r="AH90" s="598">
        <f>IF(AE90&gt;$AI$27,0,ROUND(AH89*(1+$AI$24),0))</f>
        <v>0</v>
      </c>
      <c r="AI90" s="598">
        <f>IF(AE90&gt;$AI$27,0,ROUND(AI89*(1+$AI$25),0))</f>
        <v>0</v>
      </c>
      <c r="AJ90" s="598">
        <f>AJ89*1.03</f>
        <v>0</v>
      </c>
      <c r="AK90" s="598">
        <f>SUM(AF90:AJ90)</f>
        <v>0</v>
      </c>
      <c r="AL90" s="598">
        <v>0</v>
      </c>
      <c r="AM90" s="598">
        <f>SUM(AK90:AL90)*0.5*0.9</f>
        <v>0</v>
      </c>
      <c r="AN90" s="599">
        <f>AM90*(1/((1+$AI$28)^(AE90-0.5)))</f>
        <v>0</v>
      </c>
    </row>
    <row r="91" s="58" customFormat="1" ht="18" customHeight="1" hidden="1">
      <c r="X91" s="63"/>
      <c r="AE91" s="584">
        <v>53</v>
      </c>
      <c r="AF91" s="598">
        <f>AF90*(1+$AI$23)</f>
        <v>0</v>
      </c>
      <c r="AG91" s="598">
        <f>ROUND(-AF91*$AI$19,0)</f>
        <v>0</v>
      </c>
      <c r="AH91" s="598">
        <f>IF(AE91&gt;$AI$27,0,ROUND(AH90*(1+$AI$24),0))</f>
        <v>0</v>
      </c>
      <c r="AI91" s="598">
        <f>IF(AE91&gt;$AI$27,0,ROUND(AI90*(1+$AI$25),0))</f>
        <v>0</v>
      </c>
      <c r="AJ91" s="598">
        <f>AJ90*1.03</f>
        <v>0</v>
      </c>
      <c r="AK91" s="598">
        <f>SUM(AF91:AJ91)</f>
        <v>0</v>
      </c>
      <c r="AL91" s="598">
        <v>0</v>
      </c>
      <c r="AM91" s="598">
        <f>SUM(AK91:AL91)*0.5*0.9</f>
        <v>0</v>
      </c>
      <c r="AN91" s="599">
        <f>AM91*(1/((1+$AI$28)^(AE91-0.5)))</f>
        <v>0</v>
      </c>
    </row>
    <row r="92" s="58" customFormat="1" ht="18" customHeight="1" hidden="1">
      <c r="X92" s="63"/>
      <c r="AE92" s="584">
        <v>54</v>
      </c>
      <c r="AF92" s="598">
        <f>AF91*(1+$AI$23)</f>
        <v>0</v>
      </c>
      <c r="AG92" s="598">
        <f>ROUND(-AF92*$AI$19,0)</f>
        <v>0</v>
      </c>
      <c r="AH92" s="598">
        <f>IF(AE92&gt;$AI$27,0,ROUND(AH91*(1+$AI$24),0))</f>
        <v>0</v>
      </c>
      <c r="AI92" s="598">
        <f>IF(AE92&gt;$AI$27,0,ROUND(AI91*(1+$AI$25),0))</f>
        <v>0</v>
      </c>
      <c r="AJ92" s="598">
        <f>AJ91*1.03</f>
        <v>0</v>
      </c>
      <c r="AK92" s="598">
        <f>SUM(AF92:AJ92)</f>
        <v>0</v>
      </c>
      <c r="AL92" s="598">
        <v>0</v>
      </c>
      <c r="AM92" s="598">
        <f>SUM(AK92:AL92)*0.5*0.9</f>
        <v>0</v>
      </c>
      <c r="AN92" s="599">
        <f>AM92*(1/((1+$AI$28)^(AE92-0.5)))</f>
        <v>0</v>
      </c>
    </row>
    <row r="93" s="58" customFormat="1" ht="18" customHeight="1" hidden="1">
      <c r="X93" s="63"/>
      <c r="AE93" s="584">
        <v>55</v>
      </c>
      <c r="AF93" s="598">
        <f>AF92*(1+$AI$23)</f>
        <v>0</v>
      </c>
      <c r="AG93" s="598">
        <f>ROUND(-AF93*$AI$19,0)</f>
        <v>0</v>
      </c>
      <c r="AH93" s="598">
        <f>IF(AE93&gt;$AI$27,0,ROUND(AH92*(1+$AI$24),0))</f>
        <v>0</v>
      </c>
      <c r="AI93" s="598">
        <f>IF(AE93&gt;$AI$27,0,ROUND(AI92*(1+$AI$25),0))</f>
        <v>0</v>
      </c>
      <c r="AJ93" s="598">
        <f>AJ92*1.03</f>
        <v>0</v>
      </c>
      <c r="AK93" s="598">
        <f>SUM(AF93:AJ93)</f>
        <v>0</v>
      </c>
      <c r="AL93" s="598">
        <v>0</v>
      </c>
      <c r="AM93" s="598">
        <f>SUM(AK93:AL93)*0.5*0.9</f>
        <v>0</v>
      </c>
      <c r="AN93" s="599">
        <f>AM93*(1/((1+$AI$28)^(AE93-0.5)))</f>
        <v>0</v>
      </c>
    </row>
    <row r="94" s="58" customFormat="1" ht="18" customHeight="1" hidden="1">
      <c r="X94" s="63"/>
      <c r="AE94" s="584">
        <v>56</v>
      </c>
      <c r="AF94" s="598">
        <f>AF93*(1+$AI$23)</f>
        <v>0</v>
      </c>
      <c r="AG94" s="598">
        <f>ROUND(-AF94*$AI$19,0)</f>
        <v>0</v>
      </c>
      <c r="AH94" s="598">
        <f>IF(AE94&gt;$AI$27,0,ROUND(AH93*(1+$AI$24),0))</f>
        <v>0</v>
      </c>
      <c r="AI94" s="598">
        <f>IF(AE94&gt;$AI$27,0,ROUND(AI93*(1+$AI$25),0))</f>
        <v>0</v>
      </c>
      <c r="AJ94" s="598">
        <f>AJ93*1.03</f>
        <v>0</v>
      </c>
      <c r="AK94" s="598">
        <f>SUM(AF94:AJ94)</f>
        <v>0</v>
      </c>
      <c r="AL94" s="598">
        <v>0</v>
      </c>
      <c r="AM94" s="598">
        <f>SUM(AK94:AL94)*0.5*0.9</f>
        <v>0</v>
      </c>
      <c r="AN94" s="599">
        <f>AM94*(1/((1+$AI$28)^(AE94-0.5)))</f>
        <v>0</v>
      </c>
    </row>
    <row r="95" s="58" customFormat="1" ht="18" customHeight="1" hidden="1">
      <c r="X95" s="63"/>
      <c r="AE95" s="584">
        <v>57</v>
      </c>
      <c r="AF95" s="598">
        <f>AF94*(1+$AI$23)</f>
        <v>0</v>
      </c>
      <c r="AG95" s="598">
        <f>ROUND(-AF95*$AI$19,0)</f>
        <v>0</v>
      </c>
      <c r="AH95" s="598">
        <f>IF(AE95&gt;$AI$27,0,ROUND(AH94*(1+$AI$24),0))</f>
        <v>0</v>
      </c>
      <c r="AI95" s="598">
        <f>IF(AE95&gt;$AI$27,0,ROUND(AI94*(1+$AI$25),0))</f>
        <v>0</v>
      </c>
      <c r="AJ95" s="598">
        <f>AJ94*1.03</f>
        <v>0</v>
      </c>
      <c r="AK95" s="598">
        <f>SUM(AF95:AJ95)</f>
        <v>0</v>
      </c>
      <c r="AL95" s="598">
        <v>0</v>
      </c>
      <c r="AM95" s="598">
        <f>SUM(AK95:AL95)*0.5*0.9</f>
        <v>0</v>
      </c>
      <c r="AN95" s="599">
        <f>AM95*(1/((1+$AI$28)^(AE95-0.5)))</f>
        <v>0</v>
      </c>
    </row>
    <row r="96" s="58" customFormat="1" ht="18" customHeight="1" hidden="1">
      <c r="X96" s="63"/>
      <c r="AE96" s="584">
        <v>58</v>
      </c>
      <c r="AF96" s="598">
        <f>AF95*(1+$AI$23)</f>
        <v>0</v>
      </c>
      <c r="AG96" s="598">
        <f>ROUND(-AF96*$AI$19,0)</f>
        <v>0</v>
      </c>
      <c r="AH96" s="598">
        <f>IF(AE96&gt;$AI$27,0,ROUND(AH95*(1+$AI$24),0))</f>
        <v>0</v>
      </c>
      <c r="AI96" s="598">
        <f>IF(AE96&gt;$AI$27,0,ROUND(AI95*(1+$AI$25),0))</f>
        <v>0</v>
      </c>
      <c r="AJ96" s="598">
        <f>AJ95*1.03</f>
        <v>0</v>
      </c>
      <c r="AK96" s="598">
        <f>SUM(AF96:AJ96)</f>
        <v>0</v>
      </c>
      <c r="AL96" s="598">
        <v>0</v>
      </c>
      <c r="AM96" s="598">
        <f>SUM(AK96:AL96)*0.5*0.9</f>
        <v>0</v>
      </c>
      <c r="AN96" s="599">
        <f>AM96*(1/((1+$AI$28)^(AE96-0.5)))</f>
        <v>0</v>
      </c>
    </row>
    <row r="97" s="58" customFormat="1" ht="18" customHeight="1" hidden="1">
      <c r="X97" s="63"/>
      <c r="AE97" s="584">
        <v>59</v>
      </c>
      <c r="AF97" s="598">
        <f>AF96*(1+$AI$23)</f>
        <v>0</v>
      </c>
      <c r="AG97" s="598">
        <f>ROUND(-AF97*$AI$19,0)</f>
        <v>0</v>
      </c>
      <c r="AH97" s="598">
        <f>IF(AE97&gt;$AI$27,0,ROUND(AH96*(1+$AI$24),0))</f>
        <v>0</v>
      </c>
      <c r="AI97" s="598">
        <f>IF(AE97&gt;$AI$27,0,ROUND(AI96*(1+$AI$25),0))</f>
        <v>0</v>
      </c>
      <c r="AJ97" s="598">
        <f>AJ96*1.03</f>
        <v>0</v>
      </c>
      <c r="AK97" s="598">
        <f>SUM(AF97:AJ97)</f>
        <v>0</v>
      </c>
      <c r="AL97" s="598">
        <v>0</v>
      </c>
      <c r="AM97" s="598">
        <f>SUM(AK97:AL97)*0.5*0.9</f>
        <v>0</v>
      </c>
      <c r="AN97" s="599">
        <f>AM97*(1/((1+$AI$28)^(AE97-0.5)))</f>
        <v>0</v>
      </c>
    </row>
    <row r="98" s="58" customFormat="1" ht="18" customHeight="1" hidden="1">
      <c r="X98" s="63"/>
      <c r="AE98" s="584">
        <v>60</v>
      </c>
      <c r="AF98" s="603">
        <f>AF97*(1+$AI$23)</f>
        <v>0</v>
      </c>
      <c r="AG98" s="603">
        <f>ROUND(-AF98*$AI$19,0)</f>
        <v>0</v>
      </c>
      <c r="AH98" s="603">
        <f>IF(AE98&gt;$AI$27,0,ROUND(AH97*(1+$AI$24),0))</f>
        <v>0</v>
      </c>
      <c r="AI98" s="603">
        <f>IF(AE98&gt;$AI$27,0,ROUND(AI97*(1+$AI$25),0))</f>
        <v>0</v>
      </c>
      <c r="AJ98" s="603">
        <f>AJ97*1.03</f>
        <v>0</v>
      </c>
      <c r="AK98" s="603">
        <f>SUM(AF98:AJ98)</f>
        <v>0</v>
      </c>
      <c r="AL98" s="603">
        <v>0</v>
      </c>
      <c r="AM98" s="603">
        <f>SUM(AK98:AL98)*0.5*0.9</f>
        <v>0</v>
      </c>
      <c r="AN98" s="604">
        <f>AM98*(1/((1+$AI$28)^(AE98-0.5)))</f>
        <v>0</v>
      </c>
    </row>
    <row r="99" s="58" customFormat="1" ht="18.75" customHeight="1" hidden="1">
      <c r="X99" s="63"/>
      <c r="AE99" s="584"/>
      <c r="AF99" s="605">
        <f>SUM(AF39:AF98)</f>
        <v>0</v>
      </c>
      <c r="AG99" s="605">
        <f>SUM(AG39:AG98)</f>
        <v>0</v>
      </c>
      <c r="AH99" s="605">
        <f>SUM(AH39:AH98)</f>
        <v>0</v>
      </c>
      <c r="AI99" s="605">
        <f>SUM(AI39:AI98)</f>
        <v>0</v>
      </c>
      <c r="AJ99" s="605">
        <f>SUM(AJ39:AJ98)</f>
        <v>0</v>
      </c>
      <c r="AK99" s="605">
        <f>SUM(AK39:AK98)</f>
        <v>0</v>
      </c>
      <c r="AL99" s="605">
        <f>SUM(AL39:AL98)</f>
        <v>0</v>
      </c>
      <c r="AM99" s="605">
        <f>SUM(AM39:AM98)</f>
        <v>0</v>
      </c>
      <c r="AN99" s="605">
        <f>SUM(AN39:AN98)</f>
        <v>0</v>
      </c>
    </row>
    <row r="100" s="58" customFormat="1" ht="15.75" customHeight="1" hidden="1">
      <c r="X100" s="63"/>
      <c r="AE100" s="101"/>
      <c r="AF100" s="107"/>
      <c r="AG100" s="107"/>
      <c r="AH100" s="107"/>
      <c r="AI100" s="107"/>
      <c r="AJ100" s="107"/>
      <c r="AK100" s="107"/>
      <c r="AL100" s="107"/>
      <c r="AM100" s="107"/>
      <c r="AN100" s="107"/>
    </row>
    <row r="101" s="58" customFormat="1" ht="12.75" customHeight="1" hidden="1">
      <c r="X101" s="63"/>
    </row>
    <row r="102" s="58" customFormat="1" ht="12.75" customHeight="1" hidden="1">
      <c r="X102" s="63"/>
    </row>
    <row r="103" s="58" customFormat="1" ht="12.75" customHeight="1" hidden="1">
      <c r="X103" s="63"/>
    </row>
    <row r="104" s="58" customFormat="1" ht="15" customHeight="1" hidden="1">
      <c r="X104" s="63"/>
      <c r="AJ104" t="s" s="149">
        <v>821</v>
      </c>
      <c r="AN104" t="s" s="149">
        <v>874</v>
      </c>
    </row>
    <row r="105" s="58" customFormat="1" ht="18" customHeight="1" hidden="1">
      <c r="X105" s="63"/>
      <c r="AJ105" s="598">
        <f>-AI17*AI22</f>
        <v>0</v>
      </c>
      <c r="AN105" s="101">
        <f>H21</f>
        <v>0</v>
      </c>
    </row>
    <row r="106" s="58" customFormat="1" ht="18" customHeight="1" hidden="1">
      <c r="X106" s="63"/>
      <c r="AJ106" s="598">
        <f>IF(AE40&gt;$AI$27,0,ROUND(AJ105*(1+$AI$26),0))</f>
        <v>0</v>
      </c>
      <c r="AN106" s="101">
        <f>AN105*1.03</f>
        <v>0</v>
      </c>
    </row>
    <row r="107" s="58" customFormat="1" ht="18" customHeight="1" hidden="1">
      <c r="X107" s="63"/>
      <c r="AJ107" s="598">
        <f>IF(AE41&gt;$AI$27,0,ROUND(AJ106*(1+$AI$26),0))</f>
        <v>0</v>
      </c>
      <c r="AN107" s="101">
        <f>AN106*1.03</f>
        <v>0</v>
      </c>
    </row>
    <row r="108" s="58" customFormat="1" ht="18" customHeight="1" hidden="1">
      <c r="X108" s="63"/>
      <c r="AJ108" s="598">
        <f>IF(AE42&gt;$AI$27,0,ROUND(AJ107*(1+$AI$26),0))</f>
        <v>0</v>
      </c>
      <c r="AN108" s="101">
        <f>AN107*1.03</f>
        <v>0</v>
      </c>
    </row>
    <row r="109" s="58" customFormat="1" ht="18" customHeight="1" hidden="1">
      <c r="X109" s="63"/>
      <c r="AJ109" s="598">
        <f>IF(AE43&gt;$AI$27,0,ROUND(AJ108*(1+$AI$26),0))</f>
        <v>0</v>
      </c>
      <c r="AN109" s="101">
        <f>AN108*1.03</f>
        <v>0</v>
      </c>
    </row>
    <row r="110" s="58" customFormat="1" ht="18" customHeight="1" hidden="1">
      <c r="X110" s="63"/>
      <c r="AJ110" s="598">
        <f>IF(AE44&gt;$AI$27,0,ROUND(AJ109*(1+$AI$26),0))</f>
        <v>0</v>
      </c>
      <c r="AN110" s="101">
        <f>AN109*1.03</f>
        <v>0</v>
      </c>
    </row>
    <row r="111" s="58" customFormat="1" ht="18" customHeight="1" hidden="1">
      <c r="X111" s="63"/>
      <c r="AJ111" s="598">
        <f>IF(AE45&gt;$AI$27,0,ROUND(AJ110*(1+$AI$26),0))</f>
        <v>0</v>
      </c>
      <c r="AN111" s="101">
        <f>AN110*1.03</f>
        <v>0</v>
      </c>
    </row>
    <row r="112" s="58" customFormat="1" ht="18" customHeight="1" hidden="1">
      <c r="X112" s="63"/>
      <c r="AJ112" s="598">
        <f>IF(AE46&gt;$AI$27,0,ROUND(AJ111*(1+$AI$26),0))</f>
        <v>0</v>
      </c>
      <c r="AN112" s="101">
        <f>AN111*1.03</f>
        <v>0</v>
      </c>
    </row>
    <row r="113" s="58" customFormat="1" ht="18" customHeight="1" hidden="1">
      <c r="X113" s="63"/>
      <c r="AJ113" s="598">
        <f>IF(AE47&gt;$AI$27,0,ROUND(AJ112*(1+$AI$26),0))</f>
        <v>0</v>
      </c>
      <c r="AN113" s="101">
        <f>AN112*1.03</f>
        <v>0</v>
      </c>
    </row>
    <row r="114" s="58" customFormat="1" ht="18" customHeight="1" hidden="1">
      <c r="X114" s="63"/>
      <c r="AJ114" s="598">
        <f>IF(AE48&gt;$AI$27,0,ROUND(AJ113*(1+$AI$26),0))</f>
        <v>0</v>
      </c>
      <c r="AN114" s="101">
        <f>AN113*1.03</f>
        <v>0</v>
      </c>
    </row>
    <row r="115" s="58" customFormat="1" ht="18" customHeight="1" hidden="1">
      <c r="X115" s="63"/>
      <c r="AJ115" s="598">
        <f>IF(AE49&gt;$AI$27,0,ROUND(AJ114*(1+$AI$26),0))</f>
        <v>0</v>
      </c>
      <c r="AN115" s="101">
        <f>AN114*1.03</f>
        <v>0</v>
      </c>
    </row>
    <row r="116" s="58" customFormat="1" ht="18" customHeight="1" hidden="1">
      <c r="X116" s="63"/>
      <c r="AJ116" s="598">
        <f>IF(AE50&gt;$AI$27,0,ROUND(AJ115*(1+$AI$26),0))</f>
        <v>0</v>
      </c>
      <c r="AN116" s="101">
        <f>AN115*1.03</f>
        <v>0</v>
      </c>
    </row>
    <row r="117" s="58" customFormat="1" ht="18" customHeight="1" hidden="1">
      <c r="X117" s="63"/>
      <c r="AJ117" s="598">
        <f>IF(AE51&gt;$AI$27,0,ROUND(AJ116*(1+$AI$26),0))</f>
        <v>0</v>
      </c>
      <c r="AN117" s="101">
        <f>AN116*1.03</f>
        <v>0</v>
      </c>
    </row>
    <row r="118" s="58" customFormat="1" ht="18" customHeight="1" hidden="1">
      <c r="X118" s="63"/>
      <c r="AJ118" s="598">
        <f>IF(AE52&gt;$AI$27,0,ROUND(AJ117*(1+$AI$26),0))</f>
        <v>0</v>
      </c>
      <c r="AN118" s="101">
        <f>AN117*1.03</f>
        <v>0</v>
      </c>
    </row>
    <row r="119" s="58" customFormat="1" ht="18" customHeight="1" hidden="1">
      <c r="X119" s="63"/>
      <c r="AJ119" s="598">
        <f>IF(AE53&gt;$AI$27,0,ROUND(AJ118*(1+$AI$26),0))</f>
        <v>0</v>
      </c>
      <c r="AN119" s="101">
        <f>AN118*1.03</f>
        <v>0</v>
      </c>
    </row>
    <row r="120" s="58" customFormat="1" ht="18" customHeight="1" hidden="1">
      <c r="X120" s="63"/>
      <c r="AJ120" s="598">
        <f>IF(AE54&gt;$AI$27,0,ROUND(AJ119*(1+$AI$26),0))</f>
        <v>0</v>
      </c>
      <c r="AN120" s="101">
        <f>AN119*1.03</f>
        <v>0</v>
      </c>
    </row>
    <row r="121" s="58" customFormat="1" ht="18" customHeight="1" hidden="1">
      <c r="X121" s="63"/>
      <c r="AJ121" s="598">
        <f>IF(AE55&gt;$AI$27,0,ROUND(AJ120*(1+$AI$26),0))</f>
        <v>0</v>
      </c>
      <c r="AN121" s="101">
        <f>AN120*1.03</f>
        <v>0</v>
      </c>
    </row>
    <row r="122" s="58" customFormat="1" ht="18" customHeight="1" hidden="1">
      <c r="X122" s="63"/>
      <c r="AJ122" s="598">
        <f>IF(AE56&gt;$AI$27,0,ROUND(AJ121*(1+$AI$26),0))</f>
        <v>0</v>
      </c>
      <c r="AN122" s="101">
        <f>AN121*1.03</f>
        <v>0</v>
      </c>
    </row>
    <row r="123" s="58" customFormat="1" ht="18" customHeight="1" hidden="1">
      <c r="X123" s="63"/>
      <c r="AJ123" s="598">
        <f>IF(AE57&gt;$AI$27,0,ROUND(AJ122*(1+$AI$26),0))</f>
        <v>0</v>
      </c>
      <c r="AN123" s="101">
        <f>AN122*1.03</f>
        <v>0</v>
      </c>
    </row>
    <row r="124" s="58" customFormat="1" ht="18" customHeight="1" hidden="1">
      <c r="X124" s="63"/>
      <c r="AJ124" s="598">
        <f>IF(AE58&gt;$AI$27,0,ROUND(AJ123*(1+$AI$26),0))</f>
        <v>0</v>
      </c>
      <c r="AN124" s="101">
        <f>AN123*1.03</f>
        <v>0</v>
      </c>
    </row>
    <row r="125" s="58" customFormat="1" ht="18" customHeight="1" hidden="1">
      <c r="X125" s="63"/>
      <c r="AJ125" s="598">
        <f>IF(AE59&gt;$AI$27,0,ROUND(AJ124*(1+$AI$26),0))</f>
        <v>0</v>
      </c>
      <c r="AN125" s="101">
        <f>AN124*1.03</f>
        <v>0</v>
      </c>
    </row>
    <row r="126" s="58" customFormat="1" ht="18" customHeight="1" hidden="1">
      <c r="X126" s="63"/>
      <c r="AJ126" s="598">
        <f>IF(AE60&gt;$AI$27,0,ROUND(AJ125*(1+$AI$26),0))</f>
        <v>0</v>
      </c>
      <c r="AN126" s="101">
        <f>AN125*1.03</f>
        <v>0</v>
      </c>
    </row>
    <row r="127" s="58" customFormat="1" ht="18" customHeight="1" hidden="1">
      <c r="X127" s="63"/>
      <c r="AJ127" s="598">
        <f>IF(AE61&gt;$AI$27,0,ROUND(AJ126*(1+$AI$26),0))</f>
        <v>0</v>
      </c>
      <c r="AN127" s="101">
        <f>AN126*1.03</f>
        <v>0</v>
      </c>
    </row>
    <row r="128" s="58" customFormat="1" ht="18" customHeight="1" hidden="1">
      <c r="X128" s="63"/>
      <c r="AJ128" s="598">
        <f>IF(AE62&gt;$AI$27,0,ROUND(AJ127*(1+$AI$26),0))</f>
        <v>0</v>
      </c>
      <c r="AN128" s="101">
        <f>AN127*1.03</f>
        <v>0</v>
      </c>
    </row>
    <row r="129" s="58" customFormat="1" ht="18" customHeight="1" hidden="1">
      <c r="X129" s="63"/>
      <c r="AJ129" s="598">
        <f>IF(AE63&gt;$AI$27,0,ROUND(AJ128*(1+$AI$26),0))</f>
        <v>0</v>
      </c>
      <c r="AN129" s="101">
        <f>AN128*1.03</f>
        <v>0</v>
      </c>
    </row>
    <row r="130" s="58" customFormat="1" ht="18" customHeight="1" hidden="1">
      <c r="X130" s="63"/>
      <c r="AJ130" s="598">
        <f>IF(AE64&gt;$AI$27,0,ROUND(AJ129*(1+$AI$26),0))</f>
        <v>0</v>
      </c>
      <c r="AN130" s="101">
        <f>AN129*1.03</f>
        <v>0</v>
      </c>
    </row>
    <row r="131" s="58" customFormat="1" ht="18" customHeight="1" hidden="1">
      <c r="X131" s="63"/>
      <c r="AJ131" s="598">
        <f>IF(AE65&gt;$AI$27,0,ROUND(AJ130*(1+$AI$26),0))</f>
        <v>0</v>
      </c>
      <c r="AN131" s="101">
        <f>AN130*1.03</f>
        <v>0</v>
      </c>
    </row>
    <row r="132" s="58" customFormat="1" ht="18" customHeight="1" hidden="1">
      <c r="X132" s="63"/>
      <c r="AJ132" s="598">
        <f>IF(AE66&gt;$AI$27,0,ROUND(AJ131*(1+$AI$26),0))</f>
        <v>0</v>
      </c>
      <c r="AN132" s="101">
        <f>AN131*1.03</f>
        <v>0</v>
      </c>
    </row>
    <row r="133" s="58" customFormat="1" ht="18" customHeight="1" hidden="1">
      <c r="X133" s="63"/>
      <c r="AJ133" s="598">
        <f>IF(AE67&gt;$AI$27,0,ROUND(AJ132*(1+$AI$26),0))</f>
        <v>0</v>
      </c>
      <c r="AN133" s="101">
        <f>AN132*1.03</f>
        <v>0</v>
      </c>
    </row>
    <row r="134" s="58" customFormat="1" ht="18" customHeight="1" hidden="1">
      <c r="X134" s="63"/>
      <c r="AJ134" s="598">
        <f>IF(AE68&gt;$AI$27,0,ROUND(AJ133*(1+$AI$26),0))</f>
        <v>0</v>
      </c>
      <c r="AN134" s="101">
        <f>AN133*1.03</f>
        <v>0</v>
      </c>
    </row>
    <row r="135" s="58" customFormat="1" ht="15" customHeight="1" hidden="1">
      <c r="X135" s="63"/>
      <c r="AJ135" s="101">
        <f>SUM(AJ105:AJ134)</f>
        <v>0</v>
      </c>
    </row>
    <row r="136" s="58" customFormat="1" ht="12.75" customHeight="1" hidden="1">
      <c r="X136" s="63"/>
    </row>
    <row r="137" s="58" customFormat="1" ht="12.75" customHeight="1" hidden="1">
      <c r="X137" s="63"/>
      <c r="AM137" t="s" s="213">
        <v>832</v>
      </c>
      <c r="AN137" s="214"/>
    </row>
    <row r="138" s="58" customFormat="1" ht="12.75" customHeight="1" hidden="1">
      <c r="X138" s="63"/>
      <c r="AM138" s="310">
        <f>AN39</f>
        <v>0</v>
      </c>
      <c r="AN138" s="287"/>
    </row>
    <row r="139" s="58" customFormat="1" ht="12.75" customHeight="1" hidden="1">
      <c r="X139" s="63"/>
      <c r="AM139" s="310">
        <f>AN40</f>
        <v>0</v>
      </c>
      <c r="AN139" s="287"/>
    </row>
    <row r="140" s="58" customFormat="1" ht="12.75" customHeight="1" hidden="1">
      <c r="X140" s="63"/>
      <c r="AM140" s="310">
        <f>AN41</f>
        <v>0</v>
      </c>
      <c r="AN140" s="287"/>
    </row>
    <row r="141" s="58" customFormat="1" ht="12.75" customHeight="1" hidden="1">
      <c r="X141" s="63"/>
      <c r="AM141" s="310">
        <f>AN42</f>
        <v>0</v>
      </c>
      <c r="AN141" s="287"/>
    </row>
    <row r="142" s="58" customFormat="1" ht="12.75" customHeight="1" hidden="1">
      <c r="X142" s="63"/>
      <c r="AM142" s="310">
        <f>AN43</f>
        <v>0</v>
      </c>
      <c r="AN142" s="287"/>
    </row>
    <row r="143" s="58" customFormat="1" ht="12.75" customHeight="1" hidden="1">
      <c r="X143" s="63"/>
      <c r="AM143" s="310">
        <f>AN44</f>
        <v>0</v>
      </c>
      <c r="AN143" s="287"/>
    </row>
    <row r="144" s="58" customFormat="1" ht="12.75" customHeight="1" hidden="1">
      <c r="X144" s="63"/>
      <c r="AM144" s="310">
        <f>AN45</f>
        <v>0</v>
      </c>
      <c r="AN144" s="287"/>
    </row>
    <row r="145" s="58" customFormat="1" ht="12.75" customHeight="1" hidden="1">
      <c r="X145" s="63"/>
      <c r="AM145" s="310">
        <f>AN46</f>
        <v>0</v>
      </c>
      <c r="AN145" s="287"/>
    </row>
    <row r="146" s="58" customFormat="1" ht="12.75" customHeight="1" hidden="1">
      <c r="X146" s="63"/>
      <c r="AM146" s="310">
        <f>AN47</f>
        <v>0</v>
      </c>
      <c r="AN146" s="287"/>
    </row>
    <row r="147" s="58" customFormat="1" ht="12.75" customHeight="1" hidden="1">
      <c r="X147" s="63"/>
      <c r="AM147" s="310">
        <f>AN48</f>
        <v>0</v>
      </c>
      <c r="AN147" s="287"/>
    </row>
    <row r="148" s="58" customFormat="1" ht="12.75" customHeight="1" hidden="1">
      <c r="X148" s="63"/>
      <c r="AM148" s="310">
        <f>AN49</f>
        <v>0</v>
      </c>
      <c r="AN148" s="287"/>
    </row>
    <row r="149" s="58" customFormat="1" ht="12.75" customHeight="1" hidden="1">
      <c r="X149" s="63"/>
      <c r="AM149" s="310">
        <f>AN50</f>
        <v>0</v>
      </c>
      <c r="AN149" s="287"/>
    </row>
    <row r="150" s="58" customFormat="1" ht="12.75" customHeight="1" hidden="1">
      <c r="X150" s="63"/>
      <c r="AM150" s="310">
        <f>AN51</f>
        <v>0</v>
      </c>
      <c r="AN150" s="287"/>
    </row>
    <row r="151" s="58" customFormat="1" ht="12.75" customHeight="1" hidden="1">
      <c r="X151" s="63"/>
      <c r="AM151" s="310">
        <f>AN52</f>
        <v>0</v>
      </c>
      <c r="AN151" s="287"/>
    </row>
    <row r="152" s="58" customFormat="1" ht="12.75" customHeight="1" hidden="1">
      <c r="X152" s="63"/>
      <c r="AM152" s="310">
        <f>AN53</f>
        <v>0</v>
      </c>
      <c r="AN152" s="287"/>
    </row>
    <row r="153" s="58" customFormat="1" ht="12.75" customHeight="1" hidden="1">
      <c r="X153" s="63"/>
      <c r="AM153" s="310">
        <f>AN54</f>
        <v>0</v>
      </c>
      <c r="AN153" s="287"/>
    </row>
    <row r="154" s="58" customFormat="1" ht="12.75" customHeight="1" hidden="1">
      <c r="X154" s="63"/>
      <c r="AM154" s="310">
        <f>AN55</f>
        <v>0</v>
      </c>
      <c r="AN154" s="287"/>
    </row>
    <row r="155" s="58" customFormat="1" ht="12.75" customHeight="1" hidden="1">
      <c r="X155" s="63"/>
      <c r="AM155" s="310">
        <f>AN56</f>
        <v>0</v>
      </c>
      <c r="AN155" s="287"/>
    </row>
    <row r="156" s="58" customFormat="1" ht="12.75" customHeight="1" hidden="1">
      <c r="X156" s="63"/>
      <c r="AM156" s="310">
        <f>AN57</f>
        <v>0</v>
      </c>
      <c r="AN156" s="287"/>
    </row>
    <row r="157" s="58" customFormat="1" ht="12.75" customHeight="1" hidden="1">
      <c r="X157" s="63"/>
      <c r="AM157" s="310">
        <f>AN58</f>
        <v>0</v>
      </c>
      <c r="AN157" s="287"/>
    </row>
    <row r="158" s="58" customFormat="1" ht="12.75" customHeight="1" hidden="1">
      <c r="X158" s="63"/>
      <c r="AM158" s="310">
        <f>AN59</f>
        <v>0</v>
      </c>
      <c r="AN158" s="287"/>
    </row>
    <row r="159" s="58" customFormat="1" ht="12.75" customHeight="1" hidden="1">
      <c r="X159" s="63"/>
      <c r="AM159" s="310">
        <f>AN60</f>
        <v>0</v>
      </c>
      <c r="AN159" s="287"/>
    </row>
    <row r="160" s="58" customFormat="1" ht="12.75" customHeight="1" hidden="1">
      <c r="X160" s="63"/>
      <c r="AM160" s="310">
        <f>AN61</f>
        <v>0</v>
      </c>
      <c r="AN160" s="287"/>
    </row>
    <row r="161" s="58" customFormat="1" ht="12.75" customHeight="1" hidden="1">
      <c r="X161" s="63"/>
      <c r="AM161" s="310">
        <f>AN62</f>
        <v>0</v>
      </c>
      <c r="AN161" s="287"/>
    </row>
    <row r="162" s="58" customFormat="1" ht="12.75" customHeight="1" hidden="1">
      <c r="X162" s="63"/>
      <c r="AM162" s="310">
        <f>AN63</f>
        <v>0</v>
      </c>
      <c r="AN162" s="287"/>
    </row>
    <row r="163" s="58" customFormat="1" ht="12.75" customHeight="1" hidden="1">
      <c r="X163" s="63"/>
      <c r="AM163" s="310">
        <f>AN64</f>
        <v>0</v>
      </c>
      <c r="AN163" s="287"/>
    </row>
    <row r="164" s="58" customFormat="1" ht="12.75" customHeight="1" hidden="1">
      <c r="X164" s="63"/>
      <c r="AM164" s="310">
        <f>AN65</f>
        <v>0</v>
      </c>
      <c r="AN164" s="287"/>
    </row>
    <row r="165" s="58" customFormat="1" ht="12.75" customHeight="1" hidden="1">
      <c r="X165" s="63"/>
      <c r="AM165" s="310">
        <f>AN66</f>
        <v>0</v>
      </c>
      <c r="AN165" s="287"/>
    </row>
    <row r="166" s="58" customFormat="1" ht="12.75" customHeight="1" hidden="1">
      <c r="X166" s="63"/>
      <c r="AM166" s="310">
        <f>AN67</f>
        <v>0</v>
      </c>
      <c r="AN166" s="287"/>
    </row>
    <row r="167" s="58" customFormat="1" ht="15.75" customHeight="1" hidden="1">
      <c r="X167" s="63"/>
      <c r="AM167" s="809">
        <f>AK68*(1/((1+$AI$28)^(AE68-0.5)))</f>
        <v>0</v>
      </c>
      <c r="AN167" s="310">
        <f>SUM(AM138:AM167)</f>
        <v>0</v>
      </c>
    </row>
    <row r="168" s="58" customFormat="1" ht="12.75" customHeight="1" hidden="1">
      <c r="X168" s="63"/>
      <c r="AM168" s="310">
        <f>AN69+(AN68-AM167)</f>
        <v>0</v>
      </c>
      <c r="AN168" s="287"/>
    </row>
    <row r="169" s="58" customFormat="1" ht="12.75" customHeight="1" hidden="1">
      <c r="X169" s="63"/>
      <c r="AM169" s="310">
        <f>AN70</f>
        <v>0</v>
      </c>
      <c r="AN169" s="287"/>
    </row>
    <row r="170" s="58" customFormat="1" ht="12.75" customHeight="1" hidden="1">
      <c r="X170" s="63"/>
      <c r="AM170" s="310">
        <f>AN71</f>
        <v>0</v>
      </c>
      <c r="AN170" s="287"/>
    </row>
    <row r="171" s="58" customFormat="1" ht="12.75" customHeight="1" hidden="1">
      <c r="X171" s="63"/>
      <c r="AM171" s="310">
        <f>AN72</f>
        <v>0</v>
      </c>
      <c r="AN171" s="287"/>
    </row>
    <row r="172" s="58" customFormat="1" ht="12.75" customHeight="1" hidden="1">
      <c r="X172" s="63"/>
      <c r="AM172" s="310">
        <f>AN73</f>
        <v>0</v>
      </c>
      <c r="AN172" s="287"/>
    </row>
    <row r="173" s="58" customFormat="1" ht="12.75" customHeight="1" hidden="1">
      <c r="X173" s="63"/>
      <c r="AM173" s="310">
        <f>AN74</f>
        <v>0</v>
      </c>
      <c r="AN173" s="287"/>
    </row>
    <row r="174" s="58" customFormat="1" ht="12.75" customHeight="1" hidden="1">
      <c r="X174" s="63"/>
      <c r="AM174" s="310">
        <f>AN75</f>
        <v>0</v>
      </c>
      <c r="AN174" s="287"/>
    </row>
    <row r="175" s="58" customFormat="1" ht="12.75" customHeight="1" hidden="1">
      <c r="X175" s="63"/>
      <c r="AM175" s="310">
        <f>AN76</f>
        <v>0</v>
      </c>
      <c r="AN175" s="287"/>
    </row>
    <row r="176" s="58" customFormat="1" ht="12.75" customHeight="1" hidden="1">
      <c r="X176" s="63"/>
      <c r="AM176" s="310">
        <f>AN77</f>
        <v>0</v>
      </c>
      <c r="AN176" s="287"/>
    </row>
    <row r="177" s="58" customFormat="1" ht="12.75" customHeight="1" hidden="1">
      <c r="X177" s="63"/>
      <c r="AM177" s="310">
        <f>AN78</f>
        <v>0</v>
      </c>
      <c r="AN177" s="310">
        <f>SUM(AM138:AM177)</f>
        <v>0</v>
      </c>
    </row>
    <row r="178" s="58" customFormat="1" ht="12.75" customHeight="1" hidden="1">
      <c r="X178" s="63"/>
      <c r="AM178" s="310">
        <f>AN79</f>
        <v>0</v>
      </c>
      <c r="AN178" s="287"/>
    </row>
    <row r="179" s="58" customFormat="1" ht="12.75" customHeight="1" hidden="1">
      <c r="X179" s="63"/>
      <c r="AM179" s="310">
        <f>AN80</f>
        <v>0</v>
      </c>
      <c r="AN179" s="287"/>
    </row>
    <row r="180" s="58" customFormat="1" ht="12.75" customHeight="1" hidden="1">
      <c r="X180" s="108"/>
      <c r="AM180" s="310">
        <f>AN81</f>
        <v>0</v>
      </c>
      <c r="AN180" s="287"/>
    </row>
    <row r="181" s="58" customFormat="1" ht="12.75" customHeight="1" hidden="1">
      <c r="X181" s="63"/>
      <c r="AM181" s="310">
        <f>AN82</f>
        <v>0</v>
      </c>
      <c r="AN181" s="287"/>
    </row>
    <row r="182" s="58" customFormat="1" ht="12.75" customHeight="1" hidden="1">
      <c r="X182" s="63"/>
      <c r="AM182" s="310">
        <f>AN83</f>
        <v>0</v>
      </c>
      <c r="AN182" s="287"/>
    </row>
    <row r="183" s="58" customFormat="1" ht="12.75" customHeight="1" hidden="1">
      <c r="X183" s="63"/>
      <c r="AM183" s="310">
        <f>AN84</f>
        <v>0</v>
      </c>
      <c r="AN183" s="287"/>
    </row>
    <row r="184" s="58" customFormat="1" ht="12.75" customHeight="1" hidden="1">
      <c r="X184" s="63"/>
      <c r="AM184" s="310">
        <f>AN85</f>
        <v>0</v>
      </c>
      <c r="AN184" s="287"/>
    </row>
    <row r="185" s="58" customFormat="1" ht="12.75" customHeight="1" hidden="1">
      <c r="X185" s="63"/>
      <c r="AM185" s="310">
        <f>AN86</f>
        <v>0</v>
      </c>
      <c r="AN185" s="287"/>
    </row>
    <row r="186" s="58" customFormat="1" ht="12.75" customHeight="1" hidden="1">
      <c r="X186" s="63"/>
      <c r="AM186" s="310">
        <f>AN87</f>
        <v>0</v>
      </c>
      <c r="AN186" s="287"/>
    </row>
    <row r="187" s="58" customFormat="1" ht="12.75" customHeight="1" hidden="1">
      <c r="X187" s="63"/>
      <c r="AM187" s="310">
        <f>AN88</f>
        <v>0</v>
      </c>
      <c r="AN187" s="310">
        <f>SUM(AM138:AM187)</f>
        <v>0</v>
      </c>
    </row>
    <row r="188" s="58" customFormat="1" ht="12.75" customHeight="1" hidden="1">
      <c r="X188" s="63"/>
      <c r="AM188" s="310">
        <f>AN89</f>
        <v>0</v>
      </c>
      <c r="AN188" s="287"/>
    </row>
    <row r="189" s="58" customFormat="1" ht="12.75" customHeight="1" hidden="1">
      <c r="X189" s="63"/>
      <c r="AM189" s="310">
        <f>AN90</f>
        <v>0</v>
      </c>
      <c r="AN189" s="287"/>
    </row>
    <row r="190" s="58" customFormat="1" ht="12.75" customHeight="1" hidden="1">
      <c r="X190" s="63"/>
      <c r="AM190" s="310">
        <f>AN91</f>
        <v>0</v>
      </c>
      <c r="AN190" s="287"/>
    </row>
    <row r="191" s="58" customFormat="1" ht="12.75" customHeight="1" hidden="1">
      <c r="X191" s="63"/>
      <c r="AM191" s="310">
        <f>AN92</f>
        <v>0</v>
      </c>
      <c r="AN191" s="287"/>
    </row>
    <row r="192" s="58" customFormat="1" ht="12.75" customHeight="1" hidden="1">
      <c r="X192" s="63"/>
      <c r="AM192" s="310">
        <f>AN93</f>
        <v>0</v>
      </c>
      <c r="AN192" s="287"/>
    </row>
    <row r="193" s="58" customFormat="1" ht="12.75" customHeight="1" hidden="1">
      <c r="X193" s="63"/>
      <c r="AM193" s="310">
        <f>AN94</f>
        <v>0</v>
      </c>
      <c r="AN193" s="287"/>
    </row>
    <row r="194" s="58" customFormat="1" ht="12.75" customHeight="1" hidden="1">
      <c r="X194" s="63"/>
      <c r="AM194" s="310">
        <f>AN95</f>
        <v>0</v>
      </c>
      <c r="AN194" s="287"/>
    </row>
    <row r="195" s="58" customFormat="1" ht="12.75" customHeight="1" hidden="1">
      <c r="X195" s="63"/>
      <c r="AM195" s="310">
        <f>AN96</f>
        <v>0</v>
      </c>
      <c r="AN195" s="287"/>
    </row>
    <row r="196" s="58" customFormat="1" ht="12.75" customHeight="1" hidden="1">
      <c r="X196" s="108"/>
      <c r="AM196" s="310">
        <f>AN97</f>
        <v>0</v>
      </c>
      <c r="AN196" s="287"/>
    </row>
    <row r="197" s="58" customFormat="1" ht="12.75" customHeight="1" hidden="1">
      <c r="X197" s="63"/>
      <c r="AM197" s="310">
        <f>AN98</f>
        <v>0</v>
      </c>
      <c r="AN197" s="310">
        <f>SUM(AM168:AM197)</f>
        <v>0</v>
      </c>
    </row>
    <row r="198" s="58" customFormat="1" ht="12.75" customHeight="1" hidden="1">
      <c r="X198" s="63"/>
    </row>
    <row r="199" s="58" customFormat="1" ht="12.75" customHeight="1" hidden="1">
      <c r="X199" s="63"/>
    </row>
    <row r="200" s="58" customFormat="1" ht="12.75" customHeight="1" hidden="1">
      <c r="X200" s="63"/>
    </row>
    <row r="201" s="58" customFormat="1" ht="12.75" customHeight="1" hidden="1">
      <c r="X201" s="63"/>
    </row>
    <row r="202" s="58" customFormat="1" ht="12.75" customHeight="1" hidden="1">
      <c r="X202" s="63"/>
    </row>
    <row r="203" s="58" customFormat="1" ht="12.75" customHeight="1" hidden="1">
      <c r="X203" s="63"/>
    </row>
    <row r="204" s="58" customFormat="1" ht="12.75" customHeight="1" hidden="1">
      <c r="X204" s="63"/>
    </row>
    <row r="205" s="58" customFormat="1" ht="12.75" customHeight="1" hidden="1">
      <c r="X205" s="63"/>
    </row>
    <row r="206" s="58" customFormat="1" ht="12.75" customHeight="1" hidden="1">
      <c r="X206" s="63"/>
    </row>
    <row r="207" s="58" customFormat="1" ht="12.75" customHeight="1" hidden="1">
      <c r="X207" s="63"/>
    </row>
    <row r="208" s="58" customFormat="1" ht="12.75" customHeight="1" hidden="1">
      <c r="X208" s="63"/>
    </row>
    <row r="209" s="58" customFormat="1" ht="12.75" customHeight="1" hidden="1">
      <c r="X209" s="63"/>
    </row>
    <row r="210" s="58" customFormat="1" ht="12.75" customHeight="1" hidden="1">
      <c r="X210" s="63"/>
    </row>
    <row r="211" s="58" customFormat="1" ht="12.75" customHeight="1" hidden="1">
      <c r="X211" s="63"/>
    </row>
    <row r="212" s="58" customFormat="1" ht="12.75" customHeight="1" hidden="1">
      <c r="X212" s="63"/>
    </row>
    <row r="213" s="58" customFormat="1" ht="12.75" customHeight="1" hidden="1">
      <c r="X213" s="63"/>
    </row>
    <row r="214" s="58" customFormat="1" ht="12.75" customHeight="1" hidden="1">
      <c r="X214" s="63"/>
    </row>
    <row r="215" s="58" customFormat="1" ht="12.75" customHeight="1" hidden="1">
      <c r="X215" s="63"/>
    </row>
    <row r="216" s="58" customFormat="1" ht="12.75" customHeight="1" hidden="1">
      <c r="X216" s="63"/>
    </row>
    <row r="217" s="58" customFormat="1" ht="12.75" customHeight="1" hidden="1">
      <c r="X217" s="63"/>
    </row>
    <row r="218" s="58" customFormat="1" ht="12.75" customHeight="1" hidden="1">
      <c r="X218" s="63"/>
    </row>
    <row r="219" s="58" customFormat="1" ht="12.75" customHeight="1" hidden="1">
      <c r="X219" s="63"/>
    </row>
    <row r="220" s="58" customFormat="1" ht="12.75" customHeight="1" hidden="1">
      <c r="X220" s="63"/>
    </row>
    <row r="221" s="58" customFormat="1" ht="12.75" customHeight="1" hidden="1">
      <c r="X221" s="63"/>
    </row>
    <row r="222" s="58" customFormat="1" ht="12.75" customHeight="1" hidden="1">
      <c r="X222" s="63"/>
    </row>
    <row r="223" s="58" customFormat="1" ht="12.75" customHeight="1" hidden="1">
      <c r="X223" s="63"/>
    </row>
    <row r="224" s="58" customFormat="1" ht="12.75" customHeight="1" hidden="1">
      <c r="X224" s="63"/>
    </row>
    <row r="225" s="58" customFormat="1" ht="12.75" customHeight="1" hidden="1">
      <c r="X225" s="63"/>
    </row>
    <row r="226" s="58" customFormat="1" ht="12.75" customHeight="1" hidden="1">
      <c r="X226" s="63"/>
    </row>
    <row r="227" s="58" customFormat="1" ht="12.75" customHeight="1" hidden="1">
      <c r="X227" s="63"/>
    </row>
    <row r="228" s="58" customFormat="1" ht="12.75" customHeight="1" hidden="1">
      <c r="X228" s="63"/>
    </row>
    <row r="229" s="58" customFormat="1" ht="12.75" customHeight="1" hidden="1">
      <c r="X229" s="63"/>
    </row>
    <row r="230" s="58" customFormat="1" ht="12.75" customHeight="1" hidden="1">
      <c r="X230" s="63"/>
    </row>
    <row r="231" s="58" customFormat="1" ht="12.75" customHeight="1" hidden="1">
      <c r="X231" s="63"/>
    </row>
    <row r="232" s="58" customFormat="1" ht="12.75" customHeight="1" hidden="1">
      <c r="X232" s="63"/>
    </row>
    <row r="233" s="58" customFormat="1" ht="12.75" customHeight="1" hidden="1">
      <c r="X233" s="63"/>
    </row>
    <row r="234" s="58" customFormat="1" ht="12.75" customHeight="1" hidden="1">
      <c r="X234" s="63"/>
    </row>
    <row r="235" s="58" customFormat="1" ht="12.75" customHeight="1" hidden="1">
      <c r="X235" s="63"/>
    </row>
    <row r="236" s="58" customFormat="1" ht="12.75" customHeight="1" hidden="1">
      <c r="X236" s="63"/>
    </row>
    <row r="237" s="58" customFormat="1" ht="12.75" customHeight="1" hidden="1">
      <c r="X237" s="63"/>
    </row>
    <row r="238" s="58" customFormat="1" ht="12.75" customHeight="1" hidden="1">
      <c r="X238" s="63"/>
    </row>
    <row r="239" s="58" customFormat="1" ht="12.75" customHeight="1" hidden="1">
      <c r="X239" s="63"/>
    </row>
    <row r="240" s="58" customFormat="1" ht="12.75" customHeight="1" hidden="1">
      <c r="X240" s="63"/>
    </row>
    <row r="241" s="58" customFormat="1" ht="12.75" customHeight="1" hidden="1">
      <c r="X241" s="63"/>
    </row>
    <row r="242" s="58" customFormat="1" ht="12.75" customHeight="1" hidden="1">
      <c r="X242" s="63"/>
    </row>
    <row r="243" s="58" customFormat="1" ht="12.75" customHeight="1" hidden="1">
      <c r="X243" s="63"/>
    </row>
    <row r="244" s="58" customFormat="1" ht="12.75" customHeight="1" hidden="1">
      <c r="X244" s="63"/>
    </row>
    <row r="245" s="58" customFormat="1" ht="12.75" customHeight="1" hidden="1">
      <c r="X245" s="63"/>
    </row>
    <row r="246" s="58" customFormat="1" ht="12.75" customHeight="1" hidden="1">
      <c r="X246" s="63"/>
    </row>
    <row r="247" s="58" customFormat="1" ht="12.75" customHeight="1" hidden="1">
      <c r="X247" s="63"/>
    </row>
    <row r="248" s="58" customFormat="1" ht="12.75" customHeight="1" hidden="1">
      <c r="X248" s="63"/>
    </row>
    <row r="249" s="58" customFormat="1" ht="12.75" customHeight="1" hidden="1">
      <c r="X249" s="63"/>
    </row>
    <row r="250" s="58" customFormat="1" ht="12.75" customHeight="1" hidden="1">
      <c r="X250" s="63"/>
    </row>
    <row r="251" s="58" customFormat="1" ht="12.75" customHeight="1" hidden="1">
      <c r="X251" s="63"/>
    </row>
    <row r="252" s="58" customFormat="1" ht="12.75" customHeight="1" hidden="1">
      <c r="X252" s="63"/>
    </row>
    <row r="253" s="58" customFormat="1" ht="12.75" customHeight="1" hidden="1">
      <c r="X253" s="63"/>
    </row>
    <row r="254" s="58" customFormat="1" ht="12.75" customHeight="1" hidden="1">
      <c r="X254" s="63"/>
    </row>
    <row r="255" s="58" customFormat="1" ht="12.75" customHeight="1" hidden="1">
      <c r="X255" s="63"/>
    </row>
    <row r="256" s="58" customFormat="1" ht="12.75" customHeight="1" hidden="1">
      <c r="X256" s="63"/>
    </row>
    <row r="257" s="58" customFormat="1" ht="12.75" customHeight="1" hidden="1">
      <c r="X257" s="63"/>
    </row>
    <row r="258" s="58" customFormat="1" ht="12.75" customHeight="1" hidden="1">
      <c r="X258" s="63"/>
    </row>
    <row r="259" s="58" customFormat="1" ht="12.75" customHeight="1" hidden="1">
      <c r="X259" s="63"/>
    </row>
    <row r="260" s="58" customFormat="1" ht="12.75" customHeight="1" hidden="1">
      <c r="X260" s="63"/>
    </row>
    <row r="261" s="58" customFormat="1" ht="12.75" customHeight="1" hidden="1">
      <c r="X261" s="63"/>
    </row>
    <row r="262" s="58" customFormat="1" ht="12.75" customHeight="1" hidden="1">
      <c r="X262" s="63"/>
    </row>
    <row r="263" s="58" customFormat="1" ht="12.75" customHeight="1" hidden="1">
      <c r="X263" s="63"/>
    </row>
    <row r="264" s="58" customFormat="1" ht="12.75" customHeight="1" hidden="1">
      <c r="X264" s="63"/>
    </row>
    <row r="265" s="58" customFormat="1" ht="12.75" customHeight="1" hidden="1">
      <c r="X265" s="63"/>
    </row>
    <row r="266" s="58" customFormat="1" ht="12.75" customHeight="1" hidden="1">
      <c r="X266" s="63"/>
    </row>
    <row r="400" s="58" customFormat="1" ht="12.75" customHeight="1" hidden="1">
      <c r="A400" s="190">
        <v>42789</v>
      </c>
    </row>
    <row r="402" s="58" customFormat="1" ht="12.75" customHeight="1" hidden="1">
      <c r="A402" s="190"/>
    </row>
  </sheetData>
  <mergeCells count="2">
    <mergeCell ref="B3:C3"/>
    <mergeCell ref="AM137:AN137"/>
  </mergeCells>
  <pageMargins left="0.75" right="0.75" top="1" bottom="1" header="0.5" footer="0.5"/>
  <pageSetup firstPageNumber="1" fitToHeight="1" fitToWidth="1" scale="100" useFirstPageNumber="0" orientation="landscape" pageOrder="downThenOver"/>
  <headerFooter>
    <oddFooter>&amp;L&amp;"Helvetica,Regular"&amp;12&amp;K000000	&amp;P</oddFooter>
  </headerFooter>
</worksheet>
</file>

<file path=xl/worksheets/sheet17.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256" width="10" customWidth="1"/>
  </cols>
  <sheetData/>
  <pageMargins left="0.75" right="0.75" top="1" bottom="1" header="0.5" footer="0.5"/>
  <pageSetup firstPageNumber="1" fitToHeight="1" fitToWidth="1" scale="100" useFirstPageNumber="0" orientation="landscape" pageOrder="downThenOver"/>
  <headerFooter>
    <oddFooter>&amp;L&amp;"Helvetica,Regular"&amp;12&amp;K000000	&amp;P</oddFooter>
  </headerFooter>
  <drawing r:id="rId1"/>
  <legacyDrawing r:id="rId2"/>
</worksheet>
</file>

<file path=xl/worksheets/sheet18.xml><?xml version="1.0" encoding="utf-8"?>
<worksheet xmlns:r="http://schemas.openxmlformats.org/officeDocument/2006/relationships" xmlns="http://schemas.openxmlformats.org/spreadsheetml/2006/main">
  <dimension ref="A1:DY30419"/>
  <sheetViews>
    <sheetView workbookViewId="0" defaultGridColor="0" colorId="16"/>
  </sheetViews>
  <sheetFormatPr defaultColWidth="6.625" defaultRowHeight="0" customHeight="1" outlineLevelRow="0" outlineLevelCol="0"/>
  <cols>
    <col min="1" max="1" width="3.75" style="6" customWidth="1"/>
    <col min="2" max="2" width="11.875" style="6" customWidth="1"/>
    <col min="3" max="3" width="12.375" style="6" customWidth="1"/>
    <col min="4" max="4" width="15.875" style="6" customWidth="1"/>
    <col min="5" max="5" width="16.125" style="6" customWidth="1"/>
    <col min="6" max="6" width="9.625" style="6" customWidth="1"/>
    <col min="7" max="7" width="11.5" style="6" customWidth="1"/>
    <col min="8" max="8" width="16.5" style="6" customWidth="1"/>
    <col min="9" max="9" width="10.875" style="6" customWidth="1"/>
    <col min="10" max="10" width="10.125" style="6" customWidth="1"/>
    <col min="11" max="11" width="12.875" style="6" customWidth="1"/>
    <col min="12" max="12" width="6.875" style="6" customWidth="1"/>
    <col min="13" max="13" hidden="1" width="6.625" style="6" customWidth="1"/>
    <col min="14" max="14" hidden="1" width="6.625" style="6" customWidth="1"/>
    <col min="15" max="15" hidden="1" width="6.625" style="6" customWidth="1"/>
    <col min="16" max="16" hidden="1" width="6.625" style="6" customWidth="1"/>
    <col min="17" max="17" hidden="1" width="6.625" style="6" customWidth="1"/>
    <col min="18" max="18" hidden="1" width="6.625" style="6" customWidth="1"/>
    <col min="19" max="19" hidden="1" width="6.625" style="6" customWidth="1"/>
    <col min="20" max="20" hidden="1" width="6.625" style="6" customWidth="1"/>
    <col min="21" max="21" hidden="1" width="6.625" style="6" customWidth="1"/>
    <col min="22" max="22" hidden="1" width="6.625" style="6" customWidth="1"/>
    <col min="23" max="23" hidden="1" width="6.625" style="6" customWidth="1"/>
    <col min="24" max="24" hidden="1" width="6.625" style="6" customWidth="1"/>
    <col min="25" max="25" hidden="1" width="6.625" style="6" customWidth="1"/>
    <col min="26" max="26" hidden="1" width="6.625" style="6" customWidth="1"/>
    <col min="27" max="27" hidden="1" width="6.625" style="6" customWidth="1"/>
    <col min="28" max="28" hidden="1" width="6.625" style="6" customWidth="1"/>
    <col min="29" max="29" hidden="1" width="6.625" style="6" customWidth="1"/>
    <col min="30" max="30" hidden="1" width="6.625" style="6" customWidth="1"/>
    <col min="31" max="31" hidden="1" width="6.625" style="6" customWidth="1"/>
    <col min="32" max="32" hidden="1" width="6.625" style="6" customWidth="1"/>
    <col min="33" max="33" hidden="1" width="6.625" style="6" customWidth="1"/>
    <col min="34" max="34" hidden="1" width="6.625" style="6" customWidth="1"/>
    <col min="35" max="35" hidden="1" width="6.625" style="6" customWidth="1"/>
    <col min="36" max="36" hidden="1" width="6.625" style="6" customWidth="1"/>
    <col min="37" max="37" hidden="1" width="6.625" style="6" customWidth="1"/>
    <col min="38" max="38" hidden="1" width="6.625" style="6" customWidth="1"/>
    <col min="39" max="39" hidden="1" width="6.625" style="6" customWidth="1"/>
    <col min="40" max="40" hidden="1" width="6.625" style="6" customWidth="1"/>
    <col min="41" max="41" hidden="1" width="6.625" style="6" customWidth="1"/>
    <col min="42" max="42" hidden="1" width="6.625" style="6" customWidth="1"/>
    <col min="43" max="43" hidden="1" width="6.625" style="6" customWidth="1"/>
    <col min="44" max="44" hidden="1" width="6.625" style="6" customWidth="1"/>
    <col min="45" max="45" hidden="1" width="6.625" style="6" customWidth="1"/>
    <col min="46" max="46" hidden="1" width="6.625" style="6" customWidth="1"/>
    <col min="47" max="47" hidden="1" width="6.625" style="6" customWidth="1"/>
    <col min="48" max="48" hidden="1" width="6.625" style="6" customWidth="1"/>
    <col min="49" max="49" hidden="1" width="6.625" style="6" customWidth="1"/>
    <col min="50" max="50" hidden="1" width="6.625" style="6" customWidth="1"/>
    <col min="51" max="51" hidden="1" width="6.625" style="6" customWidth="1"/>
    <col min="52" max="52" hidden="1" width="6.625" style="6" customWidth="1"/>
    <col min="53" max="53" hidden="1" width="6.625" style="6" customWidth="1"/>
    <col min="54" max="54" hidden="1" width="6.625" style="6" customWidth="1"/>
    <col min="55" max="55" hidden="1" width="6.625" style="6" customWidth="1"/>
    <col min="56" max="56" hidden="1" width="6.625" style="6" customWidth="1"/>
    <col min="57" max="57" hidden="1" width="6.625" style="6" customWidth="1"/>
    <col min="58" max="58" hidden="1" width="6.625" style="6" customWidth="1"/>
    <col min="59" max="59" hidden="1" width="6.625" style="6" customWidth="1"/>
    <col min="60" max="60" hidden="1" width="6.625" style="6" customWidth="1"/>
    <col min="61" max="61" hidden="1" width="6.625" style="6" customWidth="1"/>
    <col min="62" max="62" hidden="1" width="6.625" style="6" customWidth="1"/>
    <col min="63" max="63" hidden="1" width="6.625" style="6" customWidth="1"/>
    <col min="64" max="64" hidden="1" width="6.625" style="6" customWidth="1"/>
    <col min="65" max="65" hidden="1" width="6.625" style="6" customWidth="1"/>
    <col min="66" max="66" hidden="1" width="6.625" style="6" customWidth="1"/>
    <col min="67" max="67" hidden="1" width="6.625" style="6" customWidth="1"/>
    <col min="68" max="68" hidden="1" width="6.625" style="6" customWidth="1"/>
    <col min="69" max="69" hidden="1" width="6.625" style="6" customWidth="1"/>
    <col min="70" max="70" hidden="1" width="6.625" style="6" customWidth="1"/>
    <col min="71" max="71" hidden="1" width="6.625" style="6" customWidth="1"/>
    <col min="72" max="72" hidden="1" width="6.625" style="6" customWidth="1"/>
    <col min="73" max="73" hidden="1" width="6.625" style="6" customWidth="1"/>
    <col min="74" max="74" hidden="1" width="6.625" style="6" customWidth="1"/>
    <col min="75" max="75" hidden="1" width="6.625" style="6" customWidth="1"/>
    <col min="76" max="76" hidden="1" width="6.625" style="6" customWidth="1"/>
    <col min="77" max="77" hidden="1" width="6.625" style="6" customWidth="1"/>
    <col min="78" max="78" hidden="1" width="6.625" style="6" customWidth="1"/>
    <col min="79" max="79" hidden="1" width="6.625" style="6" customWidth="1"/>
    <col min="80" max="80" hidden="1" width="6.625" style="6" customWidth="1"/>
    <col min="81" max="81" hidden="1" width="6.625" style="6" customWidth="1"/>
    <col min="82" max="82" hidden="1" width="6.625" style="6" customWidth="1"/>
    <col min="83" max="83" hidden="1" width="6.625" style="6" customWidth="1"/>
    <col min="84" max="84" hidden="1" width="6.625" style="6" customWidth="1"/>
    <col min="85" max="85" hidden="1" width="6.625" style="6" customWidth="1"/>
    <col min="86" max="86" hidden="1" width="6.625" style="6" customWidth="1"/>
    <col min="87" max="87" hidden="1" width="6.625" style="6" customWidth="1"/>
    <col min="88" max="88" hidden="1" width="6.625" style="6" customWidth="1"/>
    <col min="89" max="89" hidden="1" width="6.625" style="6" customWidth="1"/>
    <col min="90" max="90" hidden="1" width="6.625" style="6" customWidth="1"/>
    <col min="91" max="91" hidden="1" width="6.625" style="6" customWidth="1"/>
    <col min="92" max="92" hidden="1" width="6.625" style="6" customWidth="1"/>
    <col min="93" max="93" hidden="1" width="6.625" style="6" customWidth="1"/>
    <col min="94" max="94" hidden="1" width="6.625" style="6" customWidth="1"/>
    <col min="95" max="95" hidden="1" width="6.625" style="6" customWidth="1"/>
    <col min="96" max="96" hidden="1" width="6.625" style="6" customWidth="1"/>
    <col min="97" max="97" hidden="1" width="6.625" style="6" customWidth="1"/>
    <col min="98" max="98" hidden="1" width="6.625" style="6" customWidth="1"/>
    <col min="99" max="99" hidden="1" width="6.625" style="6" customWidth="1"/>
    <col min="100" max="100" hidden="1" width="6.625" style="6" customWidth="1"/>
    <col min="101" max="101" hidden="1" width="6.625" style="6" customWidth="1"/>
    <col min="102" max="102" hidden="1" width="6.625" style="6" customWidth="1"/>
    <col min="103" max="103" hidden="1" width="6.625" style="6" customWidth="1"/>
    <col min="104" max="104" hidden="1" width="6.625" style="6" customWidth="1"/>
    <col min="105" max="105" hidden="1" width="6.625" style="6" customWidth="1"/>
    <col min="106" max="106" hidden="1" width="6.625" style="6" customWidth="1"/>
    <col min="107" max="107" hidden="1" width="6.625" style="6" customWidth="1"/>
    <col min="108" max="108" hidden="1" width="6.625" style="6" customWidth="1"/>
    <col min="109" max="109" hidden="1" width="6.625" style="6" customWidth="1"/>
    <col min="110" max="110" hidden="1" width="6.625" style="6" customWidth="1"/>
    <col min="111" max="111" hidden="1" width="6.625" style="6" customWidth="1"/>
    <col min="112" max="112" hidden="1" width="6.625" style="6" customWidth="1"/>
    <col min="113" max="113" hidden="1" width="6.625" style="6" customWidth="1"/>
    <col min="114" max="114" hidden="1" width="6.625" style="6" customWidth="1"/>
    <col min="115" max="115" hidden="1" width="6.625" style="6" customWidth="1"/>
    <col min="116" max="116" hidden="1" width="6.625" style="6" customWidth="1"/>
    <col min="117" max="117" hidden="1" width="6.625" style="6" customWidth="1"/>
    <col min="118" max="118" hidden="1" width="6.625" style="6" customWidth="1"/>
    <col min="119" max="119" hidden="1" width="6.625" style="6" customWidth="1"/>
    <col min="120" max="120" hidden="1" width="6.625" style="6" customWidth="1"/>
    <col min="121" max="121" hidden="1" width="6.625" style="6" customWidth="1"/>
    <col min="122" max="122" hidden="1" width="6.625" style="6" customWidth="1"/>
    <col min="123" max="123" hidden="1" width="6.625" style="6" customWidth="1"/>
    <col min="124" max="124" hidden="1" width="6.625" style="6" customWidth="1"/>
    <col min="125" max="125" hidden="1" width="6.625" style="6" customWidth="1"/>
    <col min="126" max="126" hidden="1" width="6.625" style="6" customWidth="1"/>
    <col min="127" max="127" hidden="1" width="6.625" style="6" customWidth="1"/>
    <col min="128" max="128" hidden="1" width="6.625" style="6" customWidth="1"/>
    <col min="129" max="129" hidden="1" width="6.625" style="6" customWidth="1"/>
    <col min="130" max="256" width="6.625" style="810" customWidth="1"/>
  </cols>
  <sheetData>
    <row r="1" s="58" customFormat="1" ht="24" customHeight="1">
      <c r="B1" t="s" s="475">
        <v>98</v>
      </c>
      <c r="H1" s="48"/>
      <c r="I1" s="10"/>
      <c r="CQ1" s="48"/>
      <c r="CR1" s="757"/>
      <c r="CS1" s="757"/>
      <c r="CT1" s="757"/>
      <c r="CU1" s="757"/>
      <c r="CV1" s="757"/>
      <c r="CW1" s="757"/>
      <c r="CX1" s="757"/>
      <c r="CY1" s="757"/>
      <c r="CZ1" s="757"/>
      <c r="DA1" s="757"/>
      <c r="DB1" s="757"/>
      <c r="DC1" s="757"/>
      <c r="DD1" s="757"/>
      <c r="DE1" s="757"/>
      <c r="DF1" s="757"/>
      <c r="DG1" s="757"/>
      <c r="DH1" s="757"/>
      <c r="DI1" s="757"/>
      <c r="DJ1" s="757"/>
      <c r="DK1" s="757"/>
      <c r="DL1" s="757"/>
      <c r="DM1" s="757"/>
      <c r="DN1" s="757"/>
      <c r="DO1" s="757"/>
      <c r="DP1" s="757"/>
      <c r="DQ1" s="757"/>
      <c r="DR1" s="757"/>
      <c r="DS1" s="757"/>
      <c r="DT1" s="757"/>
    </row>
    <row r="2" s="58" customFormat="1" ht="24" customHeight="1">
      <c r="B2" s="479"/>
      <c r="F2" s="25"/>
      <c r="H2" s="56"/>
      <c r="I2" s="12"/>
      <c r="CR2" s="759"/>
      <c r="CS2" s="759"/>
      <c r="CT2" s="759"/>
      <c r="CU2" s="759"/>
      <c r="CV2" s="759"/>
      <c r="CW2" s="759"/>
      <c r="CX2" s="759"/>
      <c r="CY2" s="759"/>
      <c r="CZ2" s="759"/>
      <c r="DA2" s="759"/>
      <c r="DB2" s="759"/>
      <c r="DC2" s="759"/>
      <c r="DD2" s="759"/>
      <c r="DE2" s="759"/>
      <c r="DF2" s="759"/>
      <c r="DG2" s="759"/>
      <c r="DH2" s="759"/>
      <c r="DI2" s="759"/>
      <c r="DJ2" s="759"/>
      <c r="DK2" s="759"/>
      <c r="DL2" s="759"/>
      <c r="DM2" s="759"/>
      <c r="DN2" s="759"/>
      <c r="DO2" s="759"/>
      <c r="DP2" s="759"/>
      <c r="DQ2" s="759"/>
      <c r="DR2" s="759"/>
      <c r="DS2" s="759"/>
      <c r="DT2" s="759"/>
    </row>
    <row r="3" s="58" customFormat="1" ht="15.75" customHeight="1">
      <c r="B3" t="s" s="59">
        <v>56</v>
      </c>
      <c r="C3" s="61"/>
      <c r="F3" s="10"/>
      <c r="H3" s="56"/>
      <c r="I3" s="56"/>
      <c r="CR3" s="759"/>
      <c r="CS3" s="759"/>
      <c r="CT3" s="759"/>
      <c r="CU3" s="759"/>
      <c r="CV3" s="759"/>
      <c r="CW3" s="759"/>
      <c r="CX3" s="759"/>
      <c r="CY3" s="759"/>
      <c r="CZ3" s="759"/>
      <c r="DA3" s="759"/>
      <c r="DB3" s="759"/>
      <c r="DC3" s="759"/>
      <c r="DD3" s="759"/>
      <c r="DE3" s="759"/>
      <c r="DF3" s="759"/>
      <c r="DG3" s="759"/>
      <c r="DH3" s="759"/>
      <c r="DI3" s="759"/>
      <c r="DJ3" s="759"/>
      <c r="DK3" s="759"/>
      <c r="DL3" s="759"/>
      <c r="DM3" s="759"/>
      <c r="DN3" s="759"/>
      <c r="DO3" s="759"/>
      <c r="DP3" s="759"/>
      <c r="DQ3" s="759"/>
      <c r="DR3" s="759"/>
      <c r="DS3" s="759"/>
      <c r="DT3" s="759"/>
    </row>
    <row r="4" s="58" customFormat="1" ht="15" customHeight="1">
      <c r="B4" t="s" s="484">
        <v>58</v>
      </c>
      <c r="C4" s="485"/>
      <c r="F4" s="486"/>
      <c r="H4" s="67"/>
      <c r="I4" s="56"/>
      <c r="CR4" s="759"/>
      <c r="CS4" s="759"/>
      <c r="CT4" s="759"/>
      <c r="CU4" s="759"/>
      <c r="CV4" s="759"/>
      <c r="CW4" s="759"/>
      <c r="CX4" s="759"/>
      <c r="CY4" s="759"/>
      <c r="CZ4" s="759"/>
      <c r="DA4" s="759"/>
      <c r="DB4" s="759"/>
      <c r="DC4" s="759"/>
      <c r="DD4" s="759"/>
      <c r="DE4" s="759"/>
      <c r="DF4" s="759"/>
      <c r="DG4" s="759"/>
      <c r="DH4" s="759"/>
      <c r="DI4" s="759"/>
      <c r="DJ4" s="759"/>
      <c r="DK4" s="759"/>
      <c r="DL4" s="759"/>
      <c r="DM4" s="759"/>
      <c r="DN4" s="759"/>
      <c r="DO4" s="759"/>
      <c r="DP4" s="759"/>
      <c r="DQ4" s="759"/>
      <c r="DR4" s="759"/>
      <c r="DS4" s="759"/>
      <c r="DT4" s="759"/>
    </row>
    <row r="5" s="58" customFormat="1" ht="12.75" customHeight="1">
      <c r="B5" t="s" s="487">
        <v>570</v>
      </c>
      <c r="C5" s="488"/>
      <c r="AG5" s="62">
        <f>YEAR(AG9)</f>
        <v>2020</v>
      </c>
      <c r="AH5" s="62">
        <f>YEAR(AH9)</f>
        <v>2020</v>
      </c>
      <c r="AI5" s="62">
        <f>YEAR(AI9)</f>
        <v>2020</v>
      </c>
      <c r="AJ5" s="62">
        <f>YEAR(AJ9)</f>
        <v>2020</v>
      </c>
      <c r="AK5" s="62">
        <f>YEAR(AK9)</f>
        <v>2020</v>
      </c>
      <c r="AL5" s="62">
        <f>YEAR(AL9)</f>
        <v>2020</v>
      </c>
      <c r="AM5" s="62">
        <f>YEAR(AM9)</f>
        <v>2020</v>
      </c>
      <c r="AN5" s="62">
        <f>YEAR(AN9)</f>
        <v>2020</v>
      </c>
      <c r="AO5" s="62">
        <f>YEAR(AO9)</f>
        <v>2020</v>
      </c>
      <c r="AP5" s="62">
        <f>YEAR(AP9)</f>
        <v>2021</v>
      </c>
      <c r="AQ5" s="62">
        <f>YEAR(AQ9)</f>
        <v>2021</v>
      </c>
      <c r="AR5" s="62">
        <f>YEAR(AR9)</f>
        <v>2021</v>
      </c>
      <c r="AS5" s="62">
        <f>YEAR(AS9)</f>
        <v>2021</v>
      </c>
      <c r="AT5" s="62">
        <f>YEAR(AT9)</f>
        <v>2021</v>
      </c>
      <c r="AU5" s="62">
        <f>YEAR(AU9)</f>
        <v>2021</v>
      </c>
      <c r="AV5" s="62">
        <f>YEAR(AV9)</f>
        <v>2021</v>
      </c>
      <c r="AW5" s="62">
        <f>YEAR(AW9)</f>
        <v>2021</v>
      </c>
      <c r="AX5" s="62">
        <f>YEAR(AX9)</f>
        <v>2021</v>
      </c>
      <c r="AY5" s="62">
        <f>YEAR(AY9)</f>
        <v>2021</v>
      </c>
      <c r="AZ5" s="62">
        <f>YEAR(AZ9)</f>
        <v>2021</v>
      </c>
      <c r="BA5" s="62">
        <f>YEAR(BA9)</f>
        <v>2021</v>
      </c>
      <c r="BB5" s="62">
        <f>YEAR(BB9)</f>
        <v>2022</v>
      </c>
      <c r="BC5" s="62">
        <f>YEAR(BC9)</f>
        <v>2022</v>
      </c>
      <c r="BD5" s="62">
        <f>YEAR(BD9)</f>
        <v>2022</v>
      </c>
      <c r="BE5" s="62">
        <f>YEAR(BE9)</f>
        <v>2022</v>
      </c>
      <c r="BF5" s="62">
        <f>YEAR(BF9)</f>
        <v>2022</v>
      </c>
      <c r="BG5" s="62">
        <f>YEAR(BG9)</f>
        <v>2022</v>
      </c>
      <c r="BH5" s="62">
        <f>YEAR(BH9)</f>
        <v>2022</v>
      </c>
      <c r="BI5" s="62">
        <f>YEAR(BI9)</f>
        <v>2022</v>
      </c>
      <c r="BJ5" s="62">
        <f>YEAR(BJ9)</f>
        <v>2022</v>
      </c>
      <c r="BK5" s="62">
        <f>YEAR(BK9)</f>
        <v>2022</v>
      </c>
      <c r="BL5" s="62">
        <f>YEAR(BL9)</f>
        <v>2022</v>
      </c>
      <c r="BM5" s="62">
        <f>YEAR(BM9)</f>
        <v>2022</v>
      </c>
      <c r="BN5" s="62">
        <f>YEAR(BN9)</f>
        <v>2023</v>
      </c>
      <c r="BO5" s="62">
        <f>YEAR(BO9)</f>
        <v>2023</v>
      </c>
      <c r="BP5" s="62">
        <f>YEAR(BP9)</f>
        <v>2023</v>
      </c>
    </row>
    <row r="6" s="58" customFormat="1" ht="12.75" customHeight="1">
      <c r="B6" t="s" s="74">
        <v>734</v>
      </c>
      <c r="C6" s="492"/>
      <c r="E6" s="77"/>
    </row>
    <row r="7" s="58" customFormat="1" ht="12.75" customHeight="1">
      <c r="B7" s="494"/>
      <c r="C7" s="494"/>
    </row>
    <row r="8" s="58" customFormat="1" ht="36" customHeight="1">
      <c r="B8" t="s" s="495">
        <v>735</v>
      </c>
      <c r="C8" t="s" s="495">
        <v>736</v>
      </c>
      <c r="D8" t="s" s="495">
        <v>737</v>
      </c>
      <c r="E8" t="s" s="495">
        <v>738</v>
      </c>
      <c r="F8" t="s" s="495">
        <v>739</v>
      </c>
      <c r="G8" t="s" s="495">
        <v>740</v>
      </c>
      <c r="H8" t="s" s="811">
        <v>913</v>
      </c>
      <c r="I8" t="s" s="812">
        <v>184</v>
      </c>
      <c r="J8" t="s" s="495">
        <v>914</v>
      </c>
      <c r="K8" t="s" s="495">
        <v>915</v>
      </c>
      <c r="R8" t="s" s="761">
        <v>920</v>
      </c>
      <c r="S8" t="s" s="496">
        <v>921</v>
      </c>
      <c r="X8" s="801"/>
      <c r="Y8" s="762"/>
      <c r="Z8" t="s" s="496">
        <v>748</v>
      </c>
      <c r="AG8" s="62">
        <f>MONTH(AG9)</f>
        <v>4</v>
      </c>
      <c r="AH8" s="62">
        <f>MONTH(AH9)</f>
        <v>5</v>
      </c>
      <c r="AI8" s="62">
        <f>MONTH(AI9)</f>
        <v>6</v>
      </c>
      <c r="AJ8" s="62">
        <f>MONTH(AJ9)</f>
        <v>7</v>
      </c>
      <c r="AK8" s="62">
        <f>MONTH(AK9)</f>
        <v>8</v>
      </c>
      <c r="AL8" s="62">
        <f>MONTH(AL9)</f>
        <v>9</v>
      </c>
      <c r="AM8" s="62">
        <f>MONTH(AM9)</f>
        <v>10</v>
      </c>
      <c r="AN8" s="62">
        <f>MONTH(AN9)</f>
        <v>11</v>
      </c>
      <c r="AO8" s="62">
        <f>MONTH(AO9)</f>
        <v>12</v>
      </c>
      <c r="AP8" s="62">
        <f>MONTH(AP9)</f>
        <v>1</v>
      </c>
      <c r="AQ8" s="62">
        <f>MONTH(AQ9)</f>
        <v>2</v>
      </c>
      <c r="AR8" s="62">
        <f>MONTH(AR9)</f>
        <v>3</v>
      </c>
      <c r="AS8" s="62">
        <f>MONTH(AS9)</f>
        <v>4</v>
      </c>
      <c r="AT8" s="62">
        <f>MONTH(AT9)</f>
        <v>5</v>
      </c>
      <c r="AU8" s="62">
        <f>MONTH(AU9)</f>
        <v>6</v>
      </c>
      <c r="AV8" s="62">
        <f>MONTH(AV9)</f>
        <v>7</v>
      </c>
      <c r="AW8" s="62">
        <f>MONTH(AW9)</f>
        <v>8</v>
      </c>
      <c r="AX8" s="62">
        <f>MONTH(AX9)</f>
        <v>9</v>
      </c>
      <c r="AY8" s="62">
        <f>MONTH(AY9)</f>
        <v>10</v>
      </c>
      <c r="AZ8" s="62">
        <f>MONTH(AZ9)</f>
        <v>11</v>
      </c>
      <c r="BA8" s="62">
        <f>MONTH(BA9)</f>
        <v>12</v>
      </c>
      <c r="BB8" s="62">
        <f>MONTH(BB9)</f>
        <v>1</v>
      </c>
      <c r="BC8" s="62">
        <f>MONTH(BC9)</f>
        <v>2</v>
      </c>
      <c r="BD8" s="62">
        <f>MONTH(BD9)</f>
        <v>3</v>
      </c>
      <c r="BE8" s="62">
        <f>MONTH(BE9)</f>
        <v>4</v>
      </c>
      <c r="BF8" s="62">
        <f>MONTH(BF9)</f>
        <v>5</v>
      </c>
      <c r="BG8" s="62">
        <f>MONTH(BG9)</f>
        <v>6</v>
      </c>
      <c r="BH8" s="62">
        <f>MONTH(BH9)</f>
        <v>7</v>
      </c>
      <c r="BI8" s="62">
        <f>MONTH(BI9)</f>
        <v>8</v>
      </c>
      <c r="BJ8" s="62">
        <f>MONTH(BJ9)</f>
        <v>9</v>
      </c>
      <c r="BK8" s="62">
        <f>MONTH(BK9)</f>
        <v>10</v>
      </c>
      <c r="BL8" s="62">
        <f>MONTH(BL9)</f>
        <v>11</v>
      </c>
      <c r="BM8" s="62">
        <f>MONTH(BM9)</f>
        <v>12</v>
      </c>
      <c r="BN8" s="62">
        <f>MONTH(BN9)</f>
        <v>1</v>
      </c>
      <c r="BO8" s="62">
        <f>MONTH(BO9)</f>
        <v>2</v>
      </c>
      <c r="BP8" s="62">
        <f>MONTH(BP9)</f>
        <v>3</v>
      </c>
    </row>
    <row r="9" s="58" customFormat="1" ht="18" customHeight="1">
      <c r="B9" s="505"/>
      <c r="C9" s="505"/>
      <c r="D9" s="505"/>
      <c r="E9" s="505"/>
      <c r="F9" s="505"/>
      <c r="G9" t="s" s="506">
        <v>753</v>
      </c>
      <c r="H9" t="s" s="813">
        <v>754</v>
      </c>
      <c r="I9" t="s" s="595">
        <v>923</v>
      </c>
      <c r="J9" s="764"/>
      <c r="K9" s="764"/>
      <c r="AC9" t="s" s="511">
        <v>758</v>
      </c>
      <c r="AF9" s="765"/>
      <c r="AG9" s="765">
        <f>'Project Information'!C25</f>
        <v>43922</v>
      </c>
      <c r="AH9" s="765">
        <f>AG9+30</f>
        <v>43952</v>
      </c>
      <c r="AI9" s="765">
        <f>AH9+31</f>
        <v>43983</v>
      </c>
      <c r="AJ9" s="765">
        <f>AI9+31</f>
        <v>44014</v>
      </c>
      <c r="AK9" s="765">
        <f>AJ9+31</f>
        <v>44045</v>
      </c>
      <c r="AL9" s="765">
        <f>AK9+30</f>
        <v>44075</v>
      </c>
      <c r="AM9" s="765">
        <f>AL9+31</f>
        <v>44106</v>
      </c>
      <c r="AN9" s="765">
        <f>AM9+30</f>
        <v>44136</v>
      </c>
      <c r="AO9" s="765">
        <f>AN9+31</f>
        <v>44167</v>
      </c>
      <c r="AP9" s="765">
        <f>AO9+31</f>
        <v>44198</v>
      </c>
      <c r="AQ9" s="765">
        <f>AP9+31</f>
        <v>44229</v>
      </c>
      <c r="AR9" s="765">
        <f>AQ9+28</f>
        <v>44257</v>
      </c>
      <c r="AS9" s="765">
        <f>AR9+31</f>
        <v>44288</v>
      </c>
      <c r="AT9" s="765">
        <f>AS9+30</f>
        <v>44318</v>
      </c>
      <c r="AU9" s="765">
        <f>AT9+31</f>
        <v>44349</v>
      </c>
      <c r="AV9" s="765">
        <f>AU9+31</f>
        <v>44380</v>
      </c>
      <c r="AW9" s="765">
        <f>AV9+31</f>
        <v>44411</v>
      </c>
      <c r="AX9" s="765">
        <f>AW9+30</f>
        <v>44441</v>
      </c>
      <c r="AY9" s="765">
        <f>AX9+31</f>
        <v>44472</v>
      </c>
      <c r="AZ9" s="765">
        <f>AY9+30</f>
        <v>44502</v>
      </c>
      <c r="BA9" s="765">
        <f>AZ9+31</f>
        <v>44533</v>
      </c>
      <c r="BB9" s="765">
        <f>BA9+31</f>
        <v>44564</v>
      </c>
      <c r="BC9" s="765">
        <f>BB9+31</f>
        <v>44595</v>
      </c>
      <c r="BD9" s="765">
        <f>BC9+28</f>
        <v>44623</v>
      </c>
      <c r="BE9" s="765">
        <f>BD9+31</f>
        <v>44654</v>
      </c>
      <c r="BF9" s="765">
        <f>BE9+30</f>
        <v>44684</v>
      </c>
      <c r="BG9" s="765">
        <f>BF9+31</f>
        <v>44715</v>
      </c>
      <c r="BH9" s="765">
        <f>BG9+31</f>
        <v>44746</v>
      </c>
      <c r="BI9" s="765">
        <f>BH9+31</f>
        <v>44777</v>
      </c>
      <c r="BJ9" s="765">
        <f>BI9+30</f>
        <v>44807</v>
      </c>
      <c r="BK9" s="765">
        <f>BJ9+31</f>
        <v>44838</v>
      </c>
      <c r="BL9" s="765">
        <f>BK9+30</f>
        <v>44868</v>
      </c>
      <c r="BM9" s="765">
        <f>BL9+31</f>
        <v>44899</v>
      </c>
      <c r="BN9" s="765">
        <f>BM9+31</f>
        <v>44930</v>
      </c>
      <c r="BO9" s="765">
        <f>BN9+31</f>
        <v>44961</v>
      </c>
      <c r="BP9" s="765">
        <f>BO9+28</f>
        <v>44989</v>
      </c>
      <c r="BQ9" s="765">
        <v>43922</v>
      </c>
      <c r="BR9" s="765"/>
      <c r="BS9" s="765"/>
      <c r="BT9" s="765"/>
      <c r="BU9" s="765"/>
      <c r="BV9" s="765"/>
      <c r="BW9" s="765"/>
      <c r="BX9" s="765"/>
      <c r="BY9" s="765"/>
      <c r="BZ9" s="765"/>
      <c r="CA9" s="765"/>
      <c r="CB9" s="765"/>
      <c r="CC9" s="765"/>
      <c r="CD9" s="765"/>
      <c r="CE9" s="765"/>
      <c r="CF9" s="765"/>
      <c r="CG9" s="765"/>
      <c r="CH9" s="765"/>
      <c r="CI9" s="765"/>
      <c r="CJ9" s="765"/>
      <c r="CK9" s="765"/>
      <c r="CL9" s="765"/>
      <c r="CM9" s="765"/>
      <c r="CN9" s="765"/>
      <c r="CO9" s="765"/>
      <c r="CP9" s="765"/>
      <c r="CQ9" s="765"/>
      <c r="CR9" s="765"/>
      <c r="CS9" s="765"/>
      <c r="CT9" s="765"/>
      <c r="CU9" s="765"/>
      <c r="CV9" s="765"/>
      <c r="CW9" s="765"/>
      <c r="CX9" s="765"/>
      <c r="CY9" s="765"/>
      <c r="CZ9" s="765"/>
      <c r="DA9" s="765"/>
      <c r="DB9" s="765"/>
      <c r="DC9" s="765"/>
      <c r="DD9" s="765"/>
      <c r="DE9" s="765"/>
      <c r="DF9" s="765"/>
      <c r="DG9" s="765"/>
      <c r="DH9" s="765"/>
      <c r="DI9" s="765"/>
      <c r="DJ9" s="765"/>
      <c r="DK9" s="765"/>
      <c r="DL9" s="765"/>
      <c r="DM9" s="765"/>
      <c r="DN9" s="765"/>
      <c r="DO9" s="765"/>
      <c r="DP9" s="765"/>
      <c r="DQ9" s="765"/>
      <c r="DR9" s="765"/>
      <c r="DS9" s="765"/>
      <c r="DT9" s="765"/>
      <c r="DU9" s="765"/>
      <c r="DV9" s="765"/>
      <c r="DW9" s="765"/>
      <c r="DX9" s="765"/>
      <c r="DY9" s="814"/>
    </row>
    <row r="10" s="58" customFormat="1" ht="18" customHeight="1">
      <c r="B10" t="s" s="517">
        <v>78</v>
      </c>
      <c r="C10" t="s" s="517">
        <v>78</v>
      </c>
      <c r="D10" s="519"/>
      <c r="E10" s="519"/>
      <c r="F10" s="519"/>
      <c r="G10" t="s" s="517">
        <v>78</v>
      </c>
      <c r="H10" t="s" s="815">
        <v>78</v>
      </c>
      <c r="I10" s="816"/>
      <c r="J10" s="518"/>
      <c r="K10" t="s" s="517">
        <v>78</v>
      </c>
      <c r="AC10" s="523"/>
      <c r="AF10" s="765"/>
      <c r="AG10" s="765"/>
      <c r="AH10" s="765"/>
      <c r="AI10" s="765"/>
      <c r="AJ10" s="765"/>
      <c r="AK10" s="765"/>
      <c r="AL10" s="765"/>
      <c r="AM10" s="765"/>
      <c r="AN10" s="765"/>
      <c r="AO10" s="765"/>
      <c r="AP10" s="765"/>
      <c r="AQ10" s="765"/>
      <c r="AR10" s="765"/>
      <c r="AS10" s="765"/>
      <c r="AT10" s="765"/>
      <c r="AU10" s="765"/>
      <c r="AV10" s="765"/>
      <c r="AW10" s="765"/>
      <c r="AX10" s="765"/>
      <c r="AY10" s="765"/>
      <c r="AZ10" s="765"/>
      <c r="BA10" s="765"/>
      <c r="BB10" s="765"/>
      <c r="BC10" s="765"/>
      <c r="BD10" s="765"/>
      <c r="BE10" s="765"/>
      <c r="BF10" s="765"/>
      <c r="BG10" s="765"/>
      <c r="BH10" s="765"/>
      <c r="BI10" s="765"/>
      <c r="BJ10" s="765"/>
      <c r="BK10" s="765"/>
      <c r="BL10" s="765"/>
      <c r="BM10" s="765"/>
      <c r="BN10" s="765"/>
      <c r="BO10" s="765"/>
      <c r="BP10" s="765"/>
    </row>
    <row r="11" s="58" customFormat="1" ht="18" customHeight="1">
      <c r="B11" s="526"/>
      <c r="C11" s="526"/>
      <c r="D11" t="s" s="527">
        <f>LEFT(B11,1)</f>
      </c>
      <c r="E11" s="527">
        <f>IF(C11="",0,(IF(LEN(B11)=5,MID(B11,3,1),MID(B11,3,2))))</f>
        <v>0</v>
      </c>
      <c r="F11" s="527">
        <f>IF(Z11="H","House",IF(Z11="B","Bungalow",IF(Z11="F","Flat",IF(Z11="S","Shared",IF(Z11="T","Bedsit",IF(Z11="A","Wheelchair Flat",IF(Z11="W","Wheelchair",0)))))))</f>
        <v>0</v>
      </c>
      <c r="G11" s="526"/>
      <c r="H11" s="528"/>
      <c r="I11" s="767">
        <f>'Project Information'!H38</f>
        <v>0.5</v>
      </c>
      <c r="J11" s="768">
        <f>H11*I11</f>
        <v>0</v>
      </c>
      <c r="K11" s="769"/>
      <c r="R11" s="759">
        <f>IF(C11=0,0,(C11*G11)/$G$21*$R$21)</f>
        <v>0</v>
      </c>
      <c r="S11" s="532">
        <f>R11*I11</f>
        <v>0</v>
      </c>
      <c r="X11" s="532"/>
      <c r="Y11" s="108"/>
      <c r="Z11" t="s" s="62">
        <f>RIGHT(B11,1)</f>
      </c>
      <c r="AC11" t="s" s="90">
        <v>908</v>
      </c>
      <c r="AG11" s="772">
        <f>IF(AND(MONTH((DATE(1899,12,31)+(0*7+IF($K11&gt;60,$K11-1,$K11))))=$AG$8,YEAR((DATE(1899,12,31)+(0*7+IF($K11&gt;60,$K11-1,$K11))))=$AG$5),($J11*$C11),0)</f>
        <v>0</v>
      </c>
      <c r="AH11" s="772">
        <f>IF(AND(MONTH((DATE(1899,12,31)+(0*7+IF($K11&gt;60,$K11-1,$K11))))=$AH$8,YEAR((DATE(1899,12,31)+(0*7+IF($K11&gt;60,$K11-1,$K11))))=$AH$5),($J11*$C11),0)</f>
        <v>0</v>
      </c>
      <c r="AI11" s="772">
        <f>IF(AND(MONTH((DATE(1899,12,31)+(0*7+IF($K11&gt;60,$K11-1,$K11))))=$AI$8,YEAR((DATE(1899,12,31)+(0*7+IF($K11&gt;60,$K11-1,$K11))))=$AI$5),($J11*$C11),0)</f>
        <v>0</v>
      </c>
      <c r="AJ11" s="772">
        <f>IF(AND(MONTH((DATE(1899,12,31)+(0*7+IF($K11&gt;60,$K11-1,$K11))))=$AJ$8,YEAR((DATE(1899,12,31)+(0*7+IF($K11&gt;60,$K11-1,$K11))))=$AJ$5),($J11*$C11),0)</f>
        <v>0</v>
      </c>
      <c r="AK11" s="772">
        <f>IF(AND(MONTH((DATE(1899,12,31)+(0*7+IF($K11&gt;60,$K11-1,$K11))))=$AK$8,YEAR((DATE(1899,12,31)+(0*7+IF($K11&gt;60,$K11-1,$K11))))=$AK$5),($J11*$C11),0)</f>
        <v>0</v>
      </c>
      <c r="AL11" s="772">
        <f>IF(AND(MONTH((DATE(1899,12,31)+(0*7+IF($K11&gt;60,$K11-1,$K11))))=$AL$8,YEAR((DATE(1899,12,31)+(0*7+IF($K11&gt;60,$K11-1,$K11))))=$AL$5),($J11*$C11),0)</f>
        <v>0</v>
      </c>
      <c r="AM11" s="772">
        <f>IF(AND(MONTH((DATE(1899,12,31)+(0*7+IF($K11&gt;60,$K11-1,$K11))))=$AM$8,YEAR((DATE(1899,12,31)+(0*7+IF($K11&gt;60,$K11-1,$K11))))=$AM$5),($J11*$C11),0)</f>
        <v>0</v>
      </c>
      <c r="AN11" s="772">
        <f>IF(AND(MONTH((DATE(1899,12,31)+(0*7+IF($K11&gt;60,$K11-1,$K11))))=$AN$8,YEAR((DATE(1899,12,31)+(0*7+IF($K11&gt;60,$K11-1,$K11))))=$AN$5),($J11*$C11),0)</f>
        <v>0</v>
      </c>
      <c r="AO11" s="772">
        <f>IF(AND(MONTH((DATE(1899,12,31)+(0*7+IF($K11&gt;60,$K11-1,$K11))))=$AO$8,YEAR((DATE(1899,12,31)+(0*7+IF($K11&gt;60,$K11-1,$K11))))=$AO$5),($J11*$C11),0)</f>
        <v>0</v>
      </c>
      <c r="AP11" s="772">
        <f>IF(AND(MONTH((DATE(1899,12,31)+(0*7+IF($K11&gt;60,$K11-1,$K11))))=$AP$8,YEAR((DATE(1899,12,31)+(0*7+IF($K11&gt;60,$K11-1,$K11))))=$AP$5),($J11*$C11),0)</f>
        <v>0</v>
      </c>
      <c r="AQ11" s="772">
        <f>IF(AND(MONTH((DATE(1899,12,31)+(0*7+IF($K11&gt;60,$K11-1,$K11))))=$AQ$8,YEAR((DATE(1899,12,31)+(0*7+IF($K11&gt;60,$K11-1,$K11))))=$AQ$5),($J11*$C11),0)</f>
        <v>0</v>
      </c>
      <c r="AR11" s="772">
        <f>IF(AND(MONTH((DATE(1899,12,31)+(0*7+IF($K11&gt;60,$K11-1,$K11))))=$AR$8,YEAR((DATE(1899,12,31)+(0*7+IF($K11&gt;60,$K11-1,$K11))))=$AR$5),($J11*$C11),0)</f>
        <v>0</v>
      </c>
      <c r="AS11" s="772">
        <f>IF(AND(MONTH((DATE(1899,12,31)+(0*7+IF($K11&gt;60,$K11-1,$K11))))=$AS$8,YEAR((DATE(1899,12,31)+(0*7+IF($K11&gt;60,$K11-1,$K11))))=$AS$5),($J11*$C11),0)</f>
        <v>0</v>
      </c>
      <c r="AT11" s="772">
        <f>IF(AND(MONTH((DATE(1899,12,31)+(0*7+IF($K11&gt;60,$K11-1,$K11))))=$AT$8,YEAR((DATE(1899,12,31)+(0*7+IF($K11&gt;60,$K11-1,$K11))))=$AT$5),($J11*$C11),0)</f>
        <v>0</v>
      </c>
      <c r="AU11" s="772">
        <f>IF(AND(MONTH((DATE(1899,12,31)+(0*7+IF($K11&gt;60,$K11-1,$K11))))=$AU$8,YEAR((DATE(1899,12,31)+(0*7+IF($K11&gt;60,$K11-1,$K11))))=$AU$5),($J11*$C11),0)</f>
        <v>0</v>
      </c>
      <c r="AV11" s="772">
        <f>IF(AND(MONTH((DATE(1899,12,31)+(0*7+IF($K11&gt;60,$K11-1,$K11))))=$AV$8,YEAR((DATE(1899,12,31)+(0*7+IF($K11&gt;60,$K11-1,$K11))))=$AV$5),($J11*$C11),0)</f>
        <v>0</v>
      </c>
      <c r="AW11" s="772">
        <f>IF(AND(MONTH((DATE(1899,12,31)+(0*7+IF($K11&gt;60,$K11-1,$K11))))=$AW$8,YEAR((DATE(1899,12,31)+(0*7+IF($K11&gt;60,$K11-1,$K11))))=$AW$5),($J11*$C11),0)</f>
        <v>0</v>
      </c>
      <c r="AX11" s="772">
        <f>IF(AND(MONTH((DATE(1899,12,31)+(0*7+IF($K11&gt;60,$K11-1,$K11))))=$AX$8,YEAR((DATE(1899,12,31)+(0*7+IF($K11&gt;60,$K11-1,$K11))))=$AX$5),($J11*$C11),0)</f>
        <v>0</v>
      </c>
      <c r="AY11" s="772">
        <f>IF(AND(MONTH((DATE(1899,12,31)+(0*7+IF($K11&gt;60,$K11-1,$K11))))=$AY$8,YEAR((DATE(1899,12,31)+(0*7+IF($K11&gt;60,$K11-1,$K11))))=$AY$5),($J11*$C11),0)</f>
        <v>0</v>
      </c>
      <c r="AZ11" s="772">
        <f>IF(AND(MONTH((DATE(1899,12,31)+(0*7+IF($K11&gt;60,$K11-1,$K11))))=$AZ$8,YEAR((DATE(1899,12,31)+(0*7+IF($K11&gt;60,$K11-1,$K11))))=$AZ$5),($J11*$C11),0)</f>
        <v>0</v>
      </c>
      <c r="BA11" s="772">
        <f>IF(AND(MONTH((DATE(1899,12,31)+(0*7+IF($K11&gt;60,$K11-1,$K11))))=$BA$8,YEAR((DATE(1899,12,31)+(0*7+IF($K11&gt;60,$K11-1,$K11))))=$BA$5),($J11*$C11),0)</f>
        <v>0</v>
      </c>
      <c r="BB11" s="772">
        <f>IF(AND(MONTH((DATE(1899,12,31)+(0*7+IF($K11&gt;60,$K11-1,$K11))))=$BB$8,YEAR((DATE(1899,12,31)+(0*7+IF($K11&gt;60,$K11-1,$K11))))=$BB$5),($J11*$C11),0)</f>
        <v>0</v>
      </c>
      <c r="BC11" s="772">
        <f>IF(AND(MONTH((DATE(1899,12,31)+(0*7+IF($K11&gt;60,$K11-1,$K11))))=$BC$8,YEAR((DATE(1899,12,31)+(0*7+IF($K11&gt;60,$K11-1,$K11))))=$BC$5),($J11*$C11),0)</f>
        <v>0</v>
      </c>
      <c r="BD11" s="772">
        <f>IF(AND(MONTH((DATE(1899,12,31)+(0*7+IF($K11&gt;60,$K11-1,$K11))))=$BD$8,YEAR((DATE(1899,12,31)+(0*7+IF($K11&gt;60,$K11-1,$K11))))=$BD$5),($J11*$C11),0)</f>
        <v>0</v>
      </c>
      <c r="BE11" s="772">
        <f>IF(AND(MONTH((DATE(1899,12,31)+(0*7+IF($K11&gt;60,$K11-1,$K11))))=$BE$8,YEAR((DATE(1899,12,31)+(0*7+IF($K11&gt;60,$K11-1,$K11))))=$BE$5),($J11*$C11),0)</f>
        <v>0</v>
      </c>
      <c r="BF11" s="772">
        <f>IF(AND(MONTH((DATE(1899,12,31)+(0*7+IF($K11&gt;60,$K11-1,$K11))))=$BF$8,YEAR((DATE(1899,12,31)+(0*7+IF($K11&gt;60,$K11-1,$K11))))=$BF$5),($J11*$C11),0)</f>
        <v>0</v>
      </c>
      <c r="BG11" s="772">
        <f>IF(AND(MONTH((DATE(1899,12,31)+(0*7+IF($K11&gt;60,$K11-1,$K11))))=$BG$8,YEAR((DATE(1899,12,31)+(0*7+IF($K11&gt;60,$K11-1,$K11))))=$BG$5),($J11*$C11),0)</f>
        <v>0</v>
      </c>
      <c r="BH11" s="772">
        <f>IF(AND(MONTH((DATE(1899,12,31)+(0*7+IF($K11&gt;60,$K11-1,$K11))))=$BH$8,YEAR((DATE(1899,12,31)+(0*7+IF($K11&gt;60,$K11-1,$K11))))=$BH$5),($J11*$C11),0)</f>
        <v>0</v>
      </c>
      <c r="BI11" s="772">
        <f>IF(AND(MONTH((DATE(1899,12,31)+(0*7+IF($K11&gt;60,$K11-1,$K11))))=$BI$8,YEAR((DATE(1899,12,31)+(0*7+IF($K11&gt;60,$K11-1,$K11))))=$BI$5),($J11*$C11),0)</f>
        <v>0</v>
      </c>
      <c r="BJ11" s="772">
        <f>IF(AND(MONTH((DATE(1899,12,31)+(0*7+IF($K11&gt;60,$K11-1,$K11))))=$BJ$8,YEAR((DATE(1899,12,31)+(0*7+IF($K11&gt;60,$K11-1,$K11))))=$BJ$5),($J11*$C11),0)</f>
        <v>0</v>
      </c>
      <c r="BK11" s="772">
        <f>IF(AND(MONTH((DATE(1899,12,31)+(0*7+IF($K11&gt;60,$K11-1,$K11))))=$BK$8,YEAR((DATE(1899,12,31)+(0*7+IF($K11&gt;60,$K11-1,$K11))))=$BK$5),($J11*$C11),0)</f>
        <v>0</v>
      </c>
      <c r="BL11" s="772">
        <f>IF(AND(MONTH((DATE(1899,12,31)+(0*7+IF($K11&gt;60,$K11-1,$K11))))=$BL$8,YEAR((DATE(1899,12,31)+(0*7+IF($K11&gt;60,$K11-1,$K11))))=$BL$5),($J11*$C11),0)</f>
        <v>0</v>
      </c>
      <c r="BM11" s="772">
        <f>IF(AND(MONTH((DATE(1899,12,31)+(0*7+IF($K11&gt;60,$K11-1,$K11))))=$BM$8,YEAR((DATE(1899,12,31)+(0*7+IF($K11&gt;60,$K11-1,$K11))))=$BM$5),($J11*$C11),0)</f>
        <v>0</v>
      </c>
      <c r="BN11" s="772">
        <f>IF(AND(MONTH((DATE(1899,12,31)+(0*7+IF($K11&gt;60,$K11-1,$K11))))=$BN$8,YEAR((DATE(1899,12,31)+(0*7+IF($K11&gt;60,$K11-1,$K11))))=$BN$5),($J11*$C11),0)</f>
        <v>0</v>
      </c>
      <c r="BO11" s="772">
        <f>IF(AND(MONTH((DATE(1899,12,31)+(0*7+IF($K11&gt;60,$K11-1,$K11))))=$BO$8,YEAR((DATE(1899,12,31)+(0*7+IF($K11&gt;60,$K11-1,$K11))))=$BO$5),($J11*$C11),0)</f>
        <v>0</v>
      </c>
      <c r="BP11" s="772">
        <f>IF(AND(MONTH((DATE(1899,12,31)+(0*7+IF($K11&gt;60,$K11-1,$K11))))=$BP$8,YEAR((DATE(1899,12,31)+(0*7+IF($K11&gt;60,$K11-1,$K11))))=$BP$5),($J11*$C11),0)</f>
        <v>0</v>
      </c>
    </row>
    <row r="12" s="58" customFormat="1" ht="18" customHeight="1">
      <c r="B12" s="539"/>
      <c r="C12" s="539"/>
      <c r="D12" t="s" s="540">
        <f>LEFT(B12,1)</f>
      </c>
      <c r="E12" s="540">
        <f>IF(C12="",0,(IF(LEN(B12)=5,MID(B12,3,1),MID(B12,3,2))))</f>
        <v>0</v>
      </c>
      <c r="F12" s="540">
        <f>IF(Z12="H","House",IF(Z12="B","Bungalow",IF(Z12="F","Flat",IF(Z12="S","Shared",IF(Z12="T","Bedsit",IF(Z12="A","Wheelchair Flat",IF(Z12="W","Wheelchair",0)))))))</f>
        <v>0</v>
      </c>
      <c r="G12" s="539"/>
      <c r="H12" s="541"/>
      <c r="I12" s="773">
        <f>I11</f>
        <v>0.5</v>
      </c>
      <c r="J12" s="774">
        <f>H12*I12</f>
        <v>0</v>
      </c>
      <c r="K12" s="775"/>
      <c r="R12" s="759">
        <f>IF(C12=0,0,(C12*G12)/$G$21*$R$21)</f>
        <v>0</v>
      </c>
      <c r="S12" s="532">
        <f>R12*I12</f>
        <v>0</v>
      </c>
      <c r="X12" s="532"/>
      <c r="Y12" s="108"/>
      <c r="Z12" t="s" s="62">
        <f>RIGHT(B12,1)</f>
      </c>
      <c r="AC12" t="s" s="90">
        <v>762</v>
      </c>
      <c r="AG12" s="772">
        <f>IF(AND(MONTH((DATE(1899,12,31)+(0*7+IF($K12&gt;60,$K12-1,$K12))))=$AG$8,YEAR((DATE(1899,12,31)+(0*7+IF($K12&gt;60,$K12-1,$K12))))=$AG$5),($J12*$C12),0)</f>
        <v>0</v>
      </c>
      <c r="AH12" s="772">
        <f>IF(AND(MONTH((DATE(1899,12,31)+(0*7+IF($K12&gt;60,$K12-1,$K12))))=$AH$8,YEAR((DATE(1899,12,31)+(0*7+IF($K12&gt;60,$K12-1,$K12))))=$AH$5),($J12*$C12),0)</f>
        <v>0</v>
      </c>
      <c r="AI12" s="772">
        <f>IF(AND(MONTH((DATE(1899,12,31)+(0*7+IF($K12&gt;60,$K12-1,$K12))))=$AI$8,YEAR((DATE(1899,12,31)+(0*7+IF($K12&gt;60,$K12-1,$K12))))=$AI$5),($J12*$C12),0)</f>
        <v>0</v>
      </c>
      <c r="AJ12" s="772">
        <f>IF(AND(MONTH((DATE(1899,12,31)+(0*7+IF($K12&gt;60,$K12-1,$K12))))=$AJ$8,YEAR((DATE(1899,12,31)+(0*7+IF($K12&gt;60,$K12-1,$K12))))=$AJ$5),($J12*$C12),0)</f>
        <v>0</v>
      </c>
      <c r="AK12" s="772">
        <f>IF(AND(MONTH((DATE(1899,12,31)+(0*7+IF($K12&gt;60,$K12-1,$K12))))=$AK$8,YEAR((DATE(1899,12,31)+(0*7+IF($K12&gt;60,$K12-1,$K12))))=$AK$5),($J12*$C12),0)</f>
        <v>0</v>
      </c>
      <c r="AL12" s="772">
        <f>IF(AND(MONTH((DATE(1899,12,31)+(0*7+IF($K12&gt;60,$K12-1,$K12))))=$AL$8,YEAR((DATE(1899,12,31)+(0*7+IF($K12&gt;60,$K12-1,$K12))))=$AL$5),($J12*$C12),0)</f>
        <v>0</v>
      </c>
      <c r="AM12" s="772">
        <f>IF(AND(MONTH((DATE(1899,12,31)+(0*7+IF($K12&gt;60,$K12-1,$K12))))=$AM$8,YEAR((DATE(1899,12,31)+(0*7+IF($K12&gt;60,$K12-1,$K12))))=$AM$5),($J12*$C12),0)</f>
        <v>0</v>
      </c>
      <c r="AN12" s="772">
        <f>IF(AND(MONTH((DATE(1899,12,31)+(0*7+IF($K12&gt;60,$K12-1,$K12))))=$AN$8,YEAR((DATE(1899,12,31)+(0*7+IF($K12&gt;60,$K12-1,$K12))))=$AN$5),($J12*$C12),0)</f>
        <v>0</v>
      </c>
      <c r="AO12" s="772">
        <f>IF(AND(MONTH((DATE(1899,12,31)+(0*7+IF($K12&gt;60,$K12-1,$K12))))=$AO$8,YEAR((DATE(1899,12,31)+(0*7+IF($K12&gt;60,$K12-1,$K12))))=$AO$5),($J12*$C12),0)</f>
        <v>0</v>
      </c>
      <c r="AP12" s="772">
        <f>IF(AND(MONTH((DATE(1899,12,31)+(0*7+IF($K12&gt;60,$K12-1,$K12))))=$AP$8,YEAR((DATE(1899,12,31)+(0*7+IF($K12&gt;60,$K12-1,$K12))))=$AP$5),($J12*$C12),0)</f>
        <v>0</v>
      </c>
      <c r="AQ12" s="772">
        <f>IF(AND(MONTH((DATE(1899,12,31)+(0*7+IF($K12&gt;60,$K12-1,$K12))))=$AQ$8,YEAR((DATE(1899,12,31)+(0*7+IF($K12&gt;60,$K12-1,$K12))))=$AQ$5),($J12*$C12),0)</f>
        <v>0</v>
      </c>
      <c r="AR12" s="772">
        <f>IF(AND(MONTH((DATE(1899,12,31)+(0*7+IF($K12&gt;60,$K12-1,$K12))))=$AR$8,YEAR((DATE(1899,12,31)+(0*7+IF($K12&gt;60,$K12-1,$K12))))=$AR$5),($J12*$C12),0)</f>
        <v>0</v>
      </c>
      <c r="AS12" s="772">
        <f>IF(AND(MONTH((DATE(1899,12,31)+(0*7+IF($K12&gt;60,$K12-1,$K12))))=$AS$8,YEAR((DATE(1899,12,31)+(0*7+IF($K12&gt;60,$K12-1,$K12))))=$AS$5),($J12*$C12),0)</f>
        <v>0</v>
      </c>
      <c r="AT12" s="772">
        <f>IF(AND(MONTH((DATE(1899,12,31)+(0*7+IF($K12&gt;60,$K12-1,$K12))))=$AT$8,YEAR((DATE(1899,12,31)+(0*7+IF($K12&gt;60,$K12-1,$K12))))=$AT$5),($J12*$C12),0)</f>
        <v>0</v>
      </c>
      <c r="AU12" s="772">
        <f>IF(AND(MONTH((DATE(1899,12,31)+(0*7+IF($K12&gt;60,$K12-1,$K12))))=$AU$8,YEAR((DATE(1899,12,31)+(0*7+IF($K12&gt;60,$K12-1,$K12))))=$AU$5),($J12*$C12),0)</f>
        <v>0</v>
      </c>
      <c r="AV12" s="772">
        <f>IF(AND(MONTH((DATE(1899,12,31)+(0*7+IF($K12&gt;60,$K12-1,$K12))))=$AV$8,YEAR((DATE(1899,12,31)+(0*7+IF($K12&gt;60,$K12-1,$K12))))=$AV$5),($J12*$C12),0)</f>
        <v>0</v>
      </c>
      <c r="AW12" s="772">
        <f>IF(AND(MONTH((DATE(1899,12,31)+(0*7+IF($K12&gt;60,$K12-1,$K12))))=$AW$8,YEAR((DATE(1899,12,31)+(0*7+IF($K12&gt;60,$K12-1,$K12))))=$AW$5),($J12*$C12),0)</f>
        <v>0</v>
      </c>
      <c r="AX12" s="772">
        <f>IF(AND(MONTH((DATE(1899,12,31)+(0*7+IF($K12&gt;60,$K12-1,$K12))))=$AX$8,YEAR((DATE(1899,12,31)+(0*7+IF($K12&gt;60,$K12-1,$K12))))=$AX$5),($J12*$C12),0)</f>
        <v>0</v>
      </c>
      <c r="AY12" s="772">
        <f>IF(AND(MONTH((DATE(1899,12,31)+(0*7+IF($K12&gt;60,$K12-1,$K12))))=$AY$8,YEAR((DATE(1899,12,31)+(0*7+IF($K12&gt;60,$K12-1,$K12))))=$AY$5),($J12*$C12),0)</f>
        <v>0</v>
      </c>
      <c r="AZ12" s="772">
        <f>IF(AND(MONTH((DATE(1899,12,31)+(0*7+IF($K12&gt;60,$K12-1,$K12))))=$AZ$8,YEAR((DATE(1899,12,31)+(0*7+IF($K12&gt;60,$K12-1,$K12))))=$AZ$5),($J12*$C12),0)</f>
        <v>0</v>
      </c>
      <c r="BA12" s="772">
        <f>IF(AND(MONTH((DATE(1899,12,31)+(0*7+IF($K12&gt;60,$K12-1,$K12))))=$BA$8,YEAR((DATE(1899,12,31)+(0*7+IF($K12&gt;60,$K12-1,$K12))))=$BA$5),($J12*$C12),0)</f>
        <v>0</v>
      </c>
      <c r="BB12" s="772">
        <f>IF(AND(MONTH((DATE(1899,12,31)+(0*7+IF($K12&gt;60,$K12-1,$K12))))=$BB$8,YEAR((DATE(1899,12,31)+(0*7+IF($K12&gt;60,$K12-1,$K12))))=$BB$5),($J12*$C12),0)</f>
        <v>0</v>
      </c>
      <c r="BC12" s="772">
        <f>IF(AND(MONTH((DATE(1899,12,31)+(0*7+IF($K12&gt;60,$K12-1,$K12))))=$BC$8,YEAR((DATE(1899,12,31)+(0*7+IF($K12&gt;60,$K12-1,$K12))))=$BC$5),($J12*$C12),0)</f>
        <v>0</v>
      </c>
      <c r="BD12" s="772">
        <f>IF(AND(MONTH((DATE(1899,12,31)+(0*7+IF($K12&gt;60,$K12-1,$K12))))=$BD$8,YEAR((DATE(1899,12,31)+(0*7+IF($K12&gt;60,$K12-1,$K12))))=$BD$5),($J12*$C12),0)</f>
        <v>0</v>
      </c>
      <c r="BE12" s="772">
        <f>IF(AND(MONTH((DATE(1899,12,31)+(0*7+IF($K12&gt;60,$K12-1,$K12))))=$BE$8,YEAR((DATE(1899,12,31)+(0*7+IF($K12&gt;60,$K12-1,$K12))))=$BE$5),($J12*$C12),0)</f>
        <v>0</v>
      </c>
      <c r="BF12" s="772">
        <f>IF(AND(MONTH((DATE(1899,12,31)+(0*7+IF($K12&gt;60,$K12-1,$K12))))=$BF$8,YEAR((DATE(1899,12,31)+(0*7+IF($K12&gt;60,$K12-1,$K12))))=$BF$5),($J12*$C12),0)</f>
        <v>0</v>
      </c>
      <c r="BG12" s="772">
        <f>IF(AND(MONTH((DATE(1899,12,31)+(0*7+IF($K12&gt;60,$K12-1,$K12))))=$BG$8,YEAR((DATE(1899,12,31)+(0*7+IF($K12&gt;60,$K12-1,$K12))))=$BG$5),($J12*$C12),0)</f>
        <v>0</v>
      </c>
      <c r="BH12" s="772">
        <f>IF(AND(MONTH((DATE(1899,12,31)+(0*7+IF($K12&gt;60,$K12-1,$K12))))=$BH$8,YEAR((DATE(1899,12,31)+(0*7+IF($K12&gt;60,$K12-1,$K12))))=$BH$5),($J12*$C12),0)</f>
        <v>0</v>
      </c>
      <c r="BI12" s="772">
        <f>IF(AND(MONTH((DATE(1899,12,31)+(0*7+IF($K12&gt;60,$K12-1,$K12))))=$BI$8,YEAR((DATE(1899,12,31)+(0*7+IF($K12&gt;60,$K12-1,$K12))))=$BI$5),($J12*$C12),0)</f>
        <v>0</v>
      </c>
      <c r="BJ12" s="772">
        <f>IF(AND(MONTH((DATE(1899,12,31)+(0*7+IF($K12&gt;60,$K12-1,$K12))))=$BJ$8,YEAR((DATE(1899,12,31)+(0*7+IF($K12&gt;60,$K12-1,$K12))))=$BJ$5),($J12*$C12),0)</f>
        <v>0</v>
      </c>
      <c r="BK12" s="772">
        <f>IF(AND(MONTH((DATE(1899,12,31)+(0*7+IF($K12&gt;60,$K12-1,$K12))))=$BK$8,YEAR((DATE(1899,12,31)+(0*7+IF($K12&gt;60,$K12-1,$K12))))=$BK$5),($J12*$C12),0)</f>
        <v>0</v>
      </c>
      <c r="BL12" s="772">
        <f>IF(AND(MONTH((DATE(1899,12,31)+(0*7+IF($K12&gt;60,$K12-1,$K12))))=$BL$8,YEAR((DATE(1899,12,31)+(0*7+IF($K12&gt;60,$K12-1,$K12))))=$BL$5),($J12*$C12),0)</f>
        <v>0</v>
      </c>
      <c r="BM12" s="772">
        <f>IF(AND(MONTH((DATE(1899,12,31)+(0*7+IF($K12&gt;60,$K12-1,$K12))))=$BM$8,YEAR((DATE(1899,12,31)+(0*7+IF($K12&gt;60,$K12-1,$K12))))=$BM$5),($J12*$C12),0)</f>
        <v>0</v>
      </c>
      <c r="BN12" s="772">
        <f>IF(AND(MONTH((DATE(1899,12,31)+(0*7+IF($K12&gt;60,$K12-1,$K12))))=$BN$8,YEAR((DATE(1899,12,31)+(0*7+IF($K12&gt;60,$K12-1,$K12))))=$BN$5),($J12*$C12),0)</f>
        <v>0</v>
      </c>
      <c r="BO12" s="772">
        <f>IF(AND(MONTH((DATE(1899,12,31)+(0*7+IF($K12&gt;60,$K12-1,$K12))))=$BO$8,YEAR((DATE(1899,12,31)+(0*7+IF($K12&gt;60,$K12-1,$K12))))=$BO$5),($J12*$C12),0)</f>
        <v>0</v>
      </c>
      <c r="BP12" s="772">
        <f>IF(AND(MONTH((DATE(1899,12,31)+(0*7+IF($K12&gt;60,$K12-1,$K12))))=$BP$8,YEAR((DATE(1899,12,31)+(0*7+IF($K12&gt;60,$K12-1,$K12))))=$BP$5),($J12*$C12),0)</f>
        <v>0</v>
      </c>
    </row>
    <row r="13" s="58" customFormat="1" ht="18" customHeight="1">
      <c r="B13" s="539"/>
      <c r="C13" s="539"/>
      <c r="D13" t="s" s="540">
        <f>LEFT(B13,1)</f>
      </c>
      <c r="E13" s="540">
        <f>IF(C13="",0,(IF(LEN(B13)=5,MID(B13,3,1),MID(B13,3,2))))</f>
        <v>0</v>
      </c>
      <c r="F13" s="540">
        <f>IF(Z13="H","House",IF(Z13="B","Bungalow",IF(Z13="F","Flat",IF(Z13="S","Shared",IF(Z13="T","Bedsit",IF(Z13="A","Wheelchair Flat",IF(Z13="W","Wheelchair",0)))))))</f>
        <v>0</v>
      </c>
      <c r="G13" s="539"/>
      <c r="H13" s="541"/>
      <c r="I13" s="773">
        <f>I12</f>
        <v>0.5</v>
      </c>
      <c r="J13" s="774">
        <f>H13*I13</f>
        <v>0</v>
      </c>
      <c r="K13" s="775"/>
      <c r="R13" s="759">
        <f>IF(C13=0,0,(C13*G13)/$G$21*$R$21)</f>
        <v>0</v>
      </c>
      <c r="S13" s="532">
        <f>R13*I13</f>
        <v>0</v>
      </c>
      <c r="X13" s="532"/>
      <c r="Y13" s="108"/>
      <c r="Z13" t="s" s="62">
        <f>RIGHT(B13,1)</f>
      </c>
      <c r="AC13" t="s" s="90">
        <v>764</v>
      </c>
      <c r="AG13" s="772">
        <f>IF(AND(MONTH((DATE(1899,12,31)+(0*7+IF($K13&gt;60,$K13-1,$K13))))=$AG$8,YEAR((DATE(1899,12,31)+(0*7+IF($K13&gt;60,$K13-1,$K13))))=$AG$5),($J13*$C13),0)</f>
        <v>0</v>
      </c>
      <c r="AH13" s="772">
        <f>IF(AND(MONTH((DATE(1899,12,31)+(0*7+IF($K13&gt;60,$K13-1,$K13))))=$AH$8,YEAR((DATE(1899,12,31)+(0*7+IF($K13&gt;60,$K13-1,$K13))))=$AH$5),($J13*$C13),0)</f>
        <v>0</v>
      </c>
      <c r="AI13" s="772">
        <f>IF(AND(MONTH((DATE(1899,12,31)+(0*7+IF($K13&gt;60,$K13-1,$K13))))=$AI$8,YEAR((DATE(1899,12,31)+(0*7+IF($K13&gt;60,$K13-1,$K13))))=$AI$5),($J13*$C13),0)</f>
        <v>0</v>
      </c>
      <c r="AJ13" s="772">
        <f>IF(AND(MONTH((DATE(1899,12,31)+(0*7+IF($K13&gt;60,$K13-1,$K13))))=$AJ$8,YEAR((DATE(1899,12,31)+(0*7+IF($K13&gt;60,$K13-1,$K13))))=$AJ$5),($J13*$C13),0)</f>
        <v>0</v>
      </c>
      <c r="AK13" s="772">
        <f>IF(AND(MONTH((DATE(1899,12,31)+(0*7+IF($K13&gt;60,$K13-1,$K13))))=$AK$8,YEAR((DATE(1899,12,31)+(0*7+IF($K13&gt;60,$K13-1,$K13))))=$AK$5),($J13*$C13),0)</f>
        <v>0</v>
      </c>
      <c r="AL13" s="772">
        <f>IF(AND(MONTH((DATE(1899,12,31)+(0*7+IF($K13&gt;60,$K13-1,$K13))))=$AL$8,YEAR((DATE(1899,12,31)+(0*7+IF($K13&gt;60,$K13-1,$K13))))=$AL$5),($J13*$C13),0)</f>
        <v>0</v>
      </c>
      <c r="AM13" s="772">
        <f>IF(AND(MONTH((DATE(1899,12,31)+(0*7+IF($K13&gt;60,$K13-1,$K13))))=$AM$8,YEAR((DATE(1899,12,31)+(0*7+IF($K13&gt;60,$K13-1,$K13))))=$AM$5),($J13*$C13),0)</f>
        <v>0</v>
      </c>
      <c r="AN13" s="772">
        <f>IF(AND(MONTH((DATE(1899,12,31)+(0*7+IF($K13&gt;60,$K13-1,$K13))))=$AN$8,YEAR((DATE(1899,12,31)+(0*7+IF($K13&gt;60,$K13-1,$K13))))=$AN$5),($J13*$C13),0)</f>
        <v>0</v>
      </c>
      <c r="AO13" s="772">
        <f>IF(AND(MONTH((DATE(1899,12,31)+(0*7+IF($K13&gt;60,$K13-1,$K13))))=$AO$8,YEAR((DATE(1899,12,31)+(0*7+IF($K13&gt;60,$K13-1,$K13))))=$AO$5),($J13*$C13),0)</f>
        <v>0</v>
      </c>
      <c r="AP13" s="772">
        <f>IF(AND(MONTH((DATE(1899,12,31)+(0*7+IF($K13&gt;60,$K13-1,$K13))))=$AP$8,YEAR((DATE(1899,12,31)+(0*7+IF($K13&gt;60,$K13-1,$K13))))=$AP$5),($J13*$C13),0)</f>
        <v>0</v>
      </c>
      <c r="AQ13" s="772">
        <f>IF(AND(MONTH((DATE(1899,12,31)+(0*7+IF($K13&gt;60,$K13-1,$K13))))=$AQ$8,YEAR((DATE(1899,12,31)+(0*7+IF($K13&gt;60,$K13-1,$K13))))=$AQ$5),($J13*$C13),0)</f>
        <v>0</v>
      </c>
      <c r="AR13" s="772">
        <f>IF(AND(MONTH((DATE(1899,12,31)+(0*7+IF($K13&gt;60,$K13-1,$K13))))=$AR$8,YEAR((DATE(1899,12,31)+(0*7+IF($K13&gt;60,$K13-1,$K13))))=$AR$5),($J13*$C13),0)</f>
        <v>0</v>
      </c>
      <c r="AS13" s="772">
        <f>IF(AND(MONTH((DATE(1899,12,31)+(0*7+IF($K13&gt;60,$K13-1,$K13))))=$AS$8,YEAR((DATE(1899,12,31)+(0*7+IF($K13&gt;60,$K13-1,$K13))))=$AS$5),($J13*$C13),0)</f>
        <v>0</v>
      </c>
      <c r="AT13" s="772">
        <f>IF(AND(MONTH((DATE(1899,12,31)+(0*7+IF($K13&gt;60,$K13-1,$K13))))=$AT$8,YEAR((DATE(1899,12,31)+(0*7+IF($K13&gt;60,$K13-1,$K13))))=$AT$5),($J13*$C13),0)</f>
        <v>0</v>
      </c>
      <c r="AU13" s="772">
        <f>IF(AND(MONTH((DATE(1899,12,31)+(0*7+IF($K13&gt;60,$K13-1,$K13))))=$AU$8,YEAR((DATE(1899,12,31)+(0*7+IF($K13&gt;60,$K13-1,$K13))))=$AU$5),($J13*$C13),0)</f>
        <v>0</v>
      </c>
      <c r="AV13" s="772">
        <f>IF(AND(MONTH((DATE(1899,12,31)+(0*7+IF($K13&gt;60,$K13-1,$K13))))=$AV$8,YEAR((DATE(1899,12,31)+(0*7+IF($K13&gt;60,$K13-1,$K13))))=$AV$5),($J13*$C13),0)</f>
        <v>0</v>
      </c>
      <c r="AW13" s="772">
        <f>IF(AND(MONTH((DATE(1899,12,31)+(0*7+IF($K13&gt;60,$K13-1,$K13))))=$AW$8,YEAR((DATE(1899,12,31)+(0*7+IF($K13&gt;60,$K13-1,$K13))))=$AW$5),($J13*$C13),0)</f>
        <v>0</v>
      </c>
      <c r="AX13" s="772">
        <f>IF(AND(MONTH((DATE(1899,12,31)+(0*7+IF($K13&gt;60,$K13-1,$K13))))=$AX$8,YEAR((DATE(1899,12,31)+(0*7+IF($K13&gt;60,$K13-1,$K13))))=$AX$5),($J13*$C13),0)</f>
        <v>0</v>
      </c>
      <c r="AY13" s="772">
        <f>IF(AND(MONTH((DATE(1899,12,31)+(0*7+IF($K13&gt;60,$K13-1,$K13))))=$AY$8,YEAR((DATE(1899,12,31)+(0*7+IF($K13&gt;60,$K13-1,$K13))))=$AY$5),($J13*$C13),0)</f>
        <v>0</v>
      </c>
      <c r="AZ13" s="772">
        <f>IF(AND(MONTH((DATE(1899,12,31)+(0*7+IF($K13&gt;60,$K13-1,$K13))))=$AZ$8,YEAR((DATE(1899,12,31)+(0*7+IF($K13&gt;60,$K13-1,$K13))))=$AZ$5),($J13*$C13),0)</f>
        <v>0</v>
      </c>
      <c r="BA13" s="772">
        <f>IF(AND(MONTH((DATE(1899,12,31)+(0*7+IF($K13&gt;60,$K13-1,$K13))))=$BA$8,YEAR((DATE(1899,12,31)+(0*7+IF($K13&gt;60,$K13-1,$K13))))=$BA$5),($J13*$C13),0)</f>
        <v>0</v>
      </c>
      <c r="BB13" s="772">
        <f>IF(AND(MONTH((DATE(1899,12,31)+(0*7+IF($K13&gt;60,$K13-1,$K13))))=$BB$8,YEAR((DATE(1899,12,31)+(0*7+IF($K13&gt;60,$K13-1,$K13))))=$BB$5),($J13*$C13),0)</f>
        <v>0</v>
      </c>
      <c r="BC13" s="772">
        <f>IF(AND(MONTH((DATE(1899,12,31)+(0*7+IF($K13&gt;60,$K13-1,$K13))))=$BC$8,YEAR((DATE(1899,12,31)+(0*7+IF($K13&gt;60,$K13-1,$K13))))=$BC$5),($J13*$C13),0)</f>
        <v>0</v>
      </c>
      <c r="BD13" s="772">
        <f>IF(AND(MONTH((DATE(1899,12,31)+(0*7+IF($K13&gt;60,$K13-1,$K13))))=$BD$8,YEAR((DATE(1899,12,31)+(0*7+IF($K13&gt;60,$K13-1,$K13))))=$BD$5),($J13*$C13),0)</f>
        <v>0</v>
      </c>
      <c r="BE13" s="772">
        <f>IF(AND(MONTH((DATE(1899,12,31)+(0*7+IF($K13&gt;60,$K13-1,$K13))))=$BE$8,YEAR((DATE(1899,12,31)+(0*7+IF($K13&gt;60,$K13-1,$K13))))=$BE$5),($J13*$C13),0)</f>
        <v>0</v>
      </c>
      <c r="BF13" s="772">
        <f>IF(AND(MONTH((DATE(1899,12,31)+(0*7+IF($K13&gt;60,$K13-1,$K13))))=$BF$8,YEAR((DATE(1899,12,31)+(0*7+IF($K13&gt;60,$K13-1,$K13))))=$BF$5),($J13*$C13),0)</f>
        <v>0</v>
      </c>
      <c r="BG13" s="772">
        <f>IF(AND(MONTH((DATE(1899,12,31)+(0*7+IF($K13&gt;60,$K13-1,$K13))))=$BG$8,YEAR((DATE(1899,12,31)+(0*7+IF($K13&gt;60,$K13-1,$K13))))=$BG$5),($J13*$C13),0)</f>
        <v>0</v>
      </c>
      <c r="BH13" s="772">
        <f>IF(AND(MONTH((DATE(1899,12,31)+(0*7+IF($K13&gt;60,$K13-1,$K13))))=$BH$8,YEAR((DATE(1899,12,31)+(0*7+IF($K13&gt;60,$K13-1,$K13))))=$BH$5),($J13*$C13),0)</f>
        <v>0</v>
      </c>
      <c r="BI13" s="772">
        <f>IF(AND(MONTH((DATE(1899,12,31)+(0*7+IF($K13&gt;60,$K13-1,$K13))))=$BI$8,YEAR((DATE(1899,12,31)+(0*7+IF($K13&gt;60,$K13-1,$K13))))=$BI$5),($J13*$C13),0)</f>
        <v>0</v>
      </c>
      <c r="BJ13" s="772">
        <f>IF(AND(MONTH((DATE(1899,12,31)+(0*7+IF($K13&gt;60,$K13-1,$K13))))=$BJ$8,YEAR((DATE(1899,12,31)+(0*7+IF($K13&gt;60,$K13-1,$K13))))=$BJ$5),($J13*$C13),0)</f>
        <v>0</v>
      </c>
      <c r="BK13" s="772">
        <f>IF(AND(MONTH((DATE(1899,12,31)+(0*7+IF($K13&gt;60,$K13-1,$K13))))=$BK$8,YEAR((DATE(1899,12,31)+(0*7+IF($K13&gt;60,$K13-1,$K13))))=$BK$5),($J13*$C13),0)</f>
        <v>0</v>
      </c>
      <c r="BL13" s="772">
        <f>IF(AND(MONTH((DATE(1899,12,31)+(0*7+IF($K13&gt;60,$K13-1,$K13))))=$BL$8,YEAR((DATE(1899,12,31)+(0*7+IF($K13&gt;60,$K13-1,$K13))))=$BL$5),($J13*$C13),0)</f>
        <v>0</v>
      </c>
      <c r="BM13" s="772">
        <f>IF(AND(MONTH((DATE(1899,12,31)+(0*7+IF($K13&gt;60,$K13-1,$K13))))=$BM$8,YEAR((DATE(1899,12,31)+(0*7+IF($K13&gt;60,$K13-1,$K13))))=$BM$5),($J13*$C13),0)</f>
        <v>0</v>
      </c>
      <c r="BN13" s="772">
        <f>IF(AND(MONTH((DATE(1899,12,31)+(0*7+IF($K13&gt;60,$K13-1,$K13))))=$BN$8,YEAR((DATE(1899,12,31)+(0*7+IF($K13&gt;60,$K13-1,$K13))))=$BN$5),($J13*$C13),0)</f>
        <v>0</v>
      </c>
      <c r="BO13" s="772">
        <f>IF(AND(MONTH((DATE(1899,12,31)+(0*7+IF($K13&gt;60,$K13-1,$K13))))=$BO$8,YEAR((DATE(1899,12,31)+(0*7+IF($K13&gt;60,$K13-1,$K13))))=$BO$5),($J13*$C13),0)</f>
        <v>0</v>
      </c>
      <c r="BP13" s="772">
        <f>IF(AND(MONTH((DATE(1899,12,31)+(0*7+IF($K13&gt;60,$K13-1,$K13))))=$BP$8,YEAR((DATE(1899,12,31)+(0*7+IF($K13&gt;60,$K13-1,$K13))))=$BP$5),($J13*$C13),0)</f>
        <v>0</v>
      </c>
    </row>
    <row r="14" s="58" customFormat="1" ht="18" customHeight="1">
      <c r="B14" s="539"/>
      <c r="C14" s="539"/>
      <c r="D14" t="s" s="540">
        <f>LEFT(B14,1)</f>
      </c>
      <c r="E14" s="540">
        <f>IF(C14="",0,(IF(LEN(B14)=5,MID(B14,3,1),MID(B14,3,2))))</f>
        <v>0</v>
      </c>
      <c r="F14" s="540">
        <f>IF(Z14="H","House",IF(Z14="B","Bungalow",IF(Z14="F","Flat",IF(Z14="S","Shared",IF(Z14="T","Bedsit",IF(Z14="A","Wheelchair Flat",IF(Z14="W","Wheelchair",0)))))))</f>
        <v>0</v>
      </c>
      <c r="G14" s="539"/>
      <c r="H14" s="541"/>
      <c r="I14" s="773">
        <f>I13</f>
        <v>0.5</v>
      </c>
      <c r="J14" s="774">
        <f>H14*I14</f>
        <v>0</v>
      </c>
      <c r="K14" s="775"/>
      <c r="R14" s="759">
        <f>IF(C14=0,0,(C14*G14)/$G$21*$R$21)</f>
        <v>0</v>
      </c>
      <c r="S14" s="532">
        <f>R14*I14</f>
        <v>0</v>
      </c>
      <c r="X14" s="532"/>
      <c r="Y14" s="108"/>
      <c r="Z14" t="s" s="62">
        <f>RIGHT(B14,1)</f>
      </c>
      <c r="AC14" t="s" s="90">
        <v>766</v>
      </c>
      <c r="AG14" s="772">
        <f>IF(AND(MONTH((DATE(1899,12,31)+(0*7+IF($K14&gt;60,$K14-1,$K14))))=$AG$8,YEAR((DATE(1899,12,31)+(0*7+IF($K14&gt;60,$K14-1,$K14))))=$AG$5),($J14*$C14),0)</f>
        <v>0</v>
      </c>
      <c r="AH14" s="772">
        <f>IF(AND(MONTH((DATE(1899,12,31)+(0*7+IF($K14&gt;60,$K14-1,$K14))))=$AH$8,YEAR((DATE(1899,12,31)+(0*7+IF($K14&gt;60,$K14-1,$K14))))=$AH$5),($J14*$C14),0)</f>
        <v>0</v>
      </c>
      <c r="AI14" s="772">
        <f>IF(AND(MONTH((DATE(1899,12,31)+(0*7+IF($K14&gt;60,$K14-1,$K14))))=$AI$8,YEAR((DATE(1899,12,31)+(0*7+IF($K14&gt;60,$K14-1,$K14))))=$AI$5),($J14*$C14),0)</f>
        <v>0</v>
      </c>
      <c r="AJ14" s="772">
        <f>IF(AND(MONTH((DATE(1899,12,31)+(0*7+IF($K14&gt;60,$K14-1,$K14))))=$AJ$8,YEAR((DATE(1899,12,31)+(0*7+IF($K14&gt;60,$K14-1,$K14))))=$AJ$5),($J14*$C14),0)</f>
        <v>0</v>
      </c>
      <c r="AK14" s="772">
        <f>IF(AND(MONTH((DATE(1899,12,31)+(0*7+IF($K14&gt;60,$K14-1,$K14))))=$AK$8,YEAR((DATE(1899,12,31)+(0*7+IF($K14&gt;60,$K14-1,$K14))))=$AK$5),($J14*$C14),0)</f>
        <v>0</v>
      </c>
      <c r="AL14" s="772">
        <f>IF(AND(MONTH((DATE(1899,12,31)+(0*7+IF($K14&gt;60,$K14-1,$K14))))=$AL$8,YEAR((DATE(1899,12,31)+(0*7+IF($K14&gt;60,$K14-1,$K14))))=$AL$5),($J14*$C14),0)</f>
        <v>0</v>
      </c>
      <c r="AM14" s="772">
        <f>IF(AND(MONTH((DATE(1899,12,31)+(0*7+IF($K14&gt;60,$K14-1,$K14))))=$AM$8,YEAR((DATE(1899,12,31)+(0*7+IF($K14&gt;60,$K14-1,$K14))))=$AM$5),($J14*$C14),0)</f>
        <v>0</v>
      </c>
      <c r="AN14" s="772">
        <f>IF(AND(MONTH((DATE(1899,12,31)+(0*7+IF($K14&gt;60,$K14-1,$K14))))=$AN$8,YEAR((DATE(1899,12,31)+(0*7+IF($K14&gt;60,$K14-1,$K14))))=$AN$5),($J14*$C14),0)</f>
        <v>0</v>
      </c>
      <c r="AO14" s="772">
        <f>IF(AND(MONTH((DATE(1899,12,31)+(0*7+IF($K14&gt;60,$K14-1,$K14))))=$AO$8,YEAR((DATE(1899,12,31)+(0*7+IF($K14&gt;60,$K14-1,$K14))))=$AO$5),($J14*$C14),0)</f>
        <v>0</v>
      </c>
      <c r="AP14" s="772">
        <f>IF(AND(MONTH((DATE(1899,12,31)+(0*7+IF($K14&gt;60,$K14-1,$K14))))=$AP$8,YEAR((DATE(1899,12,31)+(0*7+IF($K14&gt;60,$K14-1,$K14))))=$AP$5),($J14*$C14),0)</f>
        <v>0</v>
      </c>
      <c r="AQ14" s="772">
        <f>IF(AND(MONTH((DATE(1899,12,31)+(0*7+IF($K14&gt;60,$K14-1,$K14))))=$AQ$8,YEAR((DATE(1899,12,31)+(0*7+IF($K14&gt;60,$K14-1,$K14))))=$AQ$5),($J14*$C14),0)</f>
        <v>0</v>
      </c>
      <c r="AR14" s="772">
        <f>IF(AND(MONTH((DATE(1899,12,31)+(0*7+IF($K14&gt;60,$K14-1,$K14))))=$AR$8,YEAR((DATE(1899,12,31)+(0*7+IF($K14&gt;60,$K14-1,$K14))))=$AR$5),($J14*$C14),0)</f>
        <v>0</v>
      </c>
      <c r="AS14" s="772">
        <f>IF(AND(MONTH((DATE(1899,12,31)+(0*7+IF($K14&gt;60,$K14-1,$K14))))=$AS$8,YEAR((DATE(1899,12,31)+(0*7+IF($K14&gt;60,$K14-1,$K14))))=$AS$5),($J14*$C14),0)</f>
        <v>0</v>
      </c>
      <c r="AT14" s="772">
        <f>IF(AND(MONTH((DATE(1899,12,31)+(0*7+IF($K14&gt;60,$K14-1,$K14))))=$AT$8,YEAR((DATE(1899,12,31)+(0*7+IF($K14&gt;60,$K14-1,$K14))))=$AT$5),($J14*$C14),0)</f>
        <v>0</v>
      </c>
      <c r="AU14" s="772">
        <f>IF(AND(MONTH((DATE(1899,12,31)+(0*7+IF($K14&gt;60,$K14-1,$K14))))=$AU$8,YEAR((DATE(1899,12,31)+(0*7+IF($K14&gt;60,$K14-1,$K14))))=$AU$5),($J14*$C14),0)</f>
        <v>0</v>
      </c>
      <c r="AV14" s="772">
        <f>IF(AND(MONTH((DATE(1899,12,31)+(0*7+IF($K14&gt;60,$K14-1,$K14))))=$AV$8,YEAR((DATE(1899,12,31)+(0*7+IF($K14&gt;60,$K14-1,$K14))))=$AV$5),($J14*$C14),0)</f>
        <v>0</v>
      </c>
      <c r="AW14" s="772">
        <f>IF(AND(MONTH((DATE(1899,12,31)+(0*7+IF($K14&gt;60,$K14-1,$K14))))=$AW$8,YEAR((DATE(1899,12,31)+(0*7+IF($K14&gt;60,$K14-1,$K14))))=$AW$5),($J14*$C14),0)</f>
        <v>0</v>
      </c>
      <c r="AX14" s="772">
        <f>IF(AND(MONTH((DATE(1899,12,31)+(0*7+IF($K14&gt;60,$K14-1,$K14))))=$AX$8,YEAR((DATE(1899,12,31)+(0*7+IF($K14&gt;60,$K14-1,$K14))))=$AX$5),($J14*$C14),0)</f>
        <v>0</v>
      </c>
      <c r="AY14" s="772">
        <f>IF(AND(MONTH((DATE(1899,12,31)+(0*7+IF($K14&gt;60,$K14-1,$K14))))=$AY$8,YEAR((DATE(1899,12,31)+(0*7+IF($K14&gt;60,$K14-1,$K14))))=$AY$5),($J14*$C14),0)</f>
        <v>0</v>
      </c>
      <c r="AZ14" s="772">
        <f>IF(AND(MONTH((DATE(1899,12,31)+(0*7+IF($K14&gt;60,$K14-1,$K14))))=$AZ$8,YEAR((DATE(1899,12,31)+(0*7+IF($K14&gt;60,$K14-1,$K14))))=$AZ$5),($J14*$C14),0)</f>
        <v>0</v>
      </c>
      <c r="BA14" s="772">
        <f>IF(AND(MONTH((DATE(1899,12,31)+(0*7+IF($K14&gt;60,$K14-1,$K14))))=$BA$8,YEAR((DATE(1899,12,31)+(0*7+IF($K14&gt;60,$K14-1,$K14))))=$BA$5),($J14*$C14),0)</f>
        <v>0</v>
      </c>
      <c r="BB14" s="772">
        <f>IF(AND(MONTH((DATE(1899,12,31)+(0*7+IF($K14&gt;60,$K14-1,$K14))))=$BB$8,YEAR((DATE(1899,12,31)+(0*7+IF($K14&gt;60,$K14-1,$K14))))=$BB$5),($J14*$C14),0)</f>
        <v>0</v>
      </c>
      <c r="BC14" s="772">
        <f>IF(AND(MONTH((DATE(1899,12,31)+(0*7+IF($K14&gt;60,$K14-1,$K14))))=$BC$8,YEAR((DATE(1899,12,31)+(0*7+IF($K14&gt;60,$K14-1,$K14))))=$BC$5),($J14*$C14),0)</f>
        <v>0</v>
      </c>
      <c r="BD14" s="772">
        <f>IF(AND(MONTH((DATE(1899,12,31)+(0*7+IF($K14&gt;60,$K14-1,$K14))))=$BD$8,YEAR((DATE(1899,12,31)+(0*7+IF($K14&gt;60,$K14-1,$K14))))=$BD$5),($J14*$C14),0)</f>
        <v>0</v>
      </c>
      <c r="BE14" s="772">
        <f>IF(AND(MONTH((DATE(1899,12,31)+(0*7+IF($K14&gt;60,$K14-1,$K14))))=$BE$8,YEAR((DATE(1899,12,31)+(0*7+IF($K14&gt;60,$K14-1,$K14))))=$BE$5),($J14*$C14),0)</f>
        <v>0</v>
      </c>
      <c r="BF14" s="772">
        <f>IF(AND(MONTH((DATE(1899,12,31)+(0*7+IF($K14&gt;60,$K14-1,$K14))))=$BF$8,YEAR((DATE(1899,12,31)+(0*7+IF($K14&gt;60,$K14-1,$K14))))=$BF$5),($J14*$C14),0)</f>
        <v>0</v>
      </c>
      <c r="BG14" s="772">
        <f>IF(AND(MONTH((DATE(1899,12,31)+(0*7+IF($K14&gt;60,$K14-1,$K14))))=$BG$8,YEAR((DATE(1899,12,31)+(0*7+IF($K14&gt;60,$K14-1,$K14))))=$BG$5),($J14*$C14),0)</f>
        <v>0</v>
      </c>
      <c r="BH14" s="772">
        <f>IF(AND(MONTH((DATE(1899,12,31)+(0*7+IF($K14&gt;60,$K14-1,$K14))))=$BH$8,YEAR((DATE(1899,12,31)+(0*7+IF($K14&gt;60,$K14-1,$K14))))=$BH$5),($J14*$C14),0)</f>
        <v>0</v>
      </c>
      <c r="BI14" s="772">
        <f>IF(AND(MONTH((DATE(1899,12,31)+(0*7+IF($K14&gt;60,$K14-1,$K14))))=$BI$8,YEAR((DATE(1899,12,31)+(0*7+IF($K14&gt;60,$K14-1,$K14))))=$BI$5),($J14*$C14),0)</f>
        <v>0</v>
      </c>
      <c r="BJ14" s="772">
        <f>IF(AND(MONTH((DATE(1899,12,31)+(0*7+IF($K14&gt;60,$K14-1,$K14))))=$BJ$8,YEAR((DATE(1899,12,31)+(0*7+IF($K14&gt;60,$K14-1,$K14))))=$BJ$5),($J14*$C14),0)</f>
        <v>0</v>
      </c>
      <c r="BK14" s="772">
        <f>IF(AND(MONTH((DATE(1899,12,31)+(0*7+IF($K14&gt;60,$K14-1,$K14))))=$BK$8,YEAR((DATE(1899,12,31)+(0*7+IF($K14&gt;60,$K14-1,$K14))))=$BK$5),($J14*$C14),0)</f>
        <v>0</v>
      </c>
      <c r="BL14" s="772">
        <f>IF(AND(MONTH((DATE(1899,12,31)+(0*7+IF($K14&gt;60,$K14-1,$K14))))=$BL$8,YEAR((DATE(1899,12,31)+(0*7+IF($K14&gt;60,$K14-1,$K14))))=$BL$5),($J14*$C14),0)</f>
        <v>0</v>
      </c>
      <c r="BM14" s="772">
        <f>IF(AND(MONTH((DATE(1899,12,31)+(0*7+IF($K14&gt;60,$K14-1,$K14))))=$BM$8,YEAR((DATE(1899,12,31)+(0*7+IF($K14&gt;60,$K14-1,$K14))))=$BM$5),($J14*$C14),0)</f>
        <v>0</v>
      </c>
      <c r="BN14" s="772">
        <f>IF(AND(MONTH((DATE(1899,12,31)+(0*7+IF($K14&gt;60,$K14-1,$K14))))=$BN$8,YEAR((DATE(1899,12,31)+(0*7+IF($K14&gt;60,$K14-1,$K14))))=$BN$5),($J14*$C14),0)</f>
        <v>0</v>
      </c>
      <c r="BO14" s="772">
        <f>IF(AND(MONTH((DATE(1899,12,31)+(0*7+IF($K14&gt;60,$K14-1,$K14))))=$BO$8,YEAR((DATE(1899,12,31)+(0*7+IF($K14&gt;60,$K14-1,$K14))))=$BO$5),($J14*$C14),0)</f>
        <v>0</v>
      </c>
      <c r="BP14" s="772">
        <f>IF(AND(MONTH((DATE(1899,12,31)+(0*7+IF($K14&gt;60,$K14-1,$K14))))=$BP$8,YEAR((DATE(1899,12,31)+(0*7+IF($K14&gt;60,$K14-1,$K14))))=$BP$5),($J14*$C14),0)</f>
        <v>0</v>
      </c>
    </row>
    <row r="15" s="58" customFormat="1" ht="18" customHeight="1">
      <c r="B15" s="539"/>
      <c r="C15" s="539"/>
      <c r="D15" t="s" s="540">
        <f>LEFT(B15,1)</f>
      </c>
      <c r="E15" s="540">
        <f>IF(C15="",0,(IF(LEN(B15)=5,MID(B15,3,1),MID(B15,3,2))))</f>
        <v>0</v>
      </c>
      <c r="F15" s="540">
        <f>IF(Z15="H","House",IF(Z15="B","Bungalow",IF(Z15="F","Flat",IF(Z15="S","Shared",IF(Z15="T","Bedsit",IF(Z15="A","Wheelchair Flat",IF(Z15="W","Wheelchair",0)))))))</f>
        <v>0</v>
      </c>
      <c r="G15" s="539"/>
      <c r="H15" s="541"/>
      <c r="I15" s="773">
        <f>I14</f>
        <v>0.5</v>
      </c>
      <c r="J15" s="774">
        <f>H15*I15</f>
        <v>0</v>
      </c>
      <c r="K15" s="775"/>
      <c r="R15" s="759">
        <f>IF(C15=0,0,(C15*G15)/$G$21*$R$21)</f>
        <v>0</v>
      </c>
      <c r="S15" s="532">
        <f>R15*I15</f>
        <v>0</v>
      </c>
      <c r="X15" s="532"/>
      <c r="Y15" s="108"/>
      <c r="Z15" t="s" s="62">
        <f>RIGHT(B15,1)</f>
      </c>
      <c r="AC15" t="s" s="90">
        <v>767</v>
      </c>
      <c r="AG15" s="772">
        <f>IF(AND(MONTH((DATE(1899,12,31)+(0*7+IF($K15&gt;60,$K15-1,$K15))))=$AG$8,YEAR((DATE(1899,12,31)+(0*7+IF($K15&gt;60,$K15-1,$K15))))=$AG$5),($J15*$C15),0)</f>
        <v>0</v>
      </c>
      <c r="AH15" s="772">
        <f>IF(AND(MONTH((DATE(1899,12,31)+(0*7+IF($K15&gt;60,$K15-1,$K15))))=$AH$8,YEAR((DATE(1899,12,31)+(0*7+IF($K15&gt;60,$K15-1,$K15))))=$AH$5),($J15*$C15),0)</f>
        <v>0</v>
      </c>
      <c r="AI15" s="772">
        <f>IF(AND(MONTH((DATE(1899,12,31)+(0*7+IF($K15&gt;60,$K15-1,$K15))))=$AI$8,YEAR((DATE(1899,12,31)+(0*7+IF($K15&gt;60,$K15-1,$K15))))=$AI$5),($J15*$C15),0)</f>
        <v>0</v>
      </c>
      <c r="AJ15" s="772">
        <f>IF(AND(MONTH((DATE(1899,12,31)+(0*7+IF($K15&gt;60,$K15-1,$K15))))=$AJ$8,YEAR((DATE(1899,12,31)+(0*7+IF($K15&gt;60,$K15-1,$K15))))=$AJ$5),($J15*$C15),0)</f>
        <v>0</v>
      </c>
      <c r="AK15" s="772">
        <f>IF(AND(MONTH((DATE(1899,12,31)+(0*7+IF($K15&gt;60,$K15-1,$K15))))=$AK$8,YEAR((DATE(1899,12,31)+(0*7+IF($K15&gt;60,$K15-1,$K15))))=$AK$5),($J15*$C15),0)</f>
        <v>0</v>
      </c>
      <c r="AL15" s="772">
        <f>IF(AND(MONTH((DATE(1899,12,31)+(0*7+IF($K15&gt;60,$K15-1,$K15))))=$AL$8,YEAR((DATE(1899,12,31)+(0*7+IF($K15&gt;60,$K15-1,$K15))))=$AL$5),($J15*$C15),0)</f>
        <v>0</v>
      </c>
      <c r="AM15" s="772">
        <f>IF(AND(MONTH((DATE(1899,12,31)+(0*7+IF($K15&gt;60,$K15-1,$K15))))=$AM$8,YEAR((DATE(1899,12,31)+(0*7+IF($K15&gt;60,$K15-1,$K15))))=$AM$5),($J15*$C15),0)</f>
        <v>0</v>
      </c>
      <c r="AN15" s="772">
        <f>IF(AND(MONTH((DATE(1899,12,31)+(0*7+IF($K15&gt;60,$K15-1,$K15))))=$AN$8,YEAR((DATE(1899,12,31)+(0*7+IF($K15&gt;60,$K15-1,$K15))))=$AN$5),($J15*$C15),0)</f>
        <v>0</v>
      </c>
      <c r="AO15" s="772">
        <f>IF(AND(MONTH((DATE(1899,12,31)+(0*7+IF($K15&gt;60,$K15-1,$K15))))=$AO$8,YEAR((DATE(1899,12,31)+(0*7+IF($K15&gt;60,$K15-1,$K15))))=$AO$5),($J15*$C15),0)</f>
        <v>0</v>
      </c>
      <c r="AP15" s="772">
        <f>IF(AND(MONTH((DATE(1899,12,31)+(0*7+IF($K15&gt;60,$K15-1,$K15))))=$AP$8,YEAR((DATE(1899,12,31)+(0*7+IF($K15&gt;60,$K15-1,$K15))))=$AP$5),($J15*$C15),0)</f>
        <v>0</v>
      </c>
      <c r="AQ15" s="772">
        <f>IF(AND(MONTH((DATE(1899,12,31)+(0*7+IF($K15&gt;60,$K15-1,$K15))))=$AQ$8,YEAR((DATE(1899,12,31)+(0*7+IF($K15&gt;60,$K15-1,$K15))))=$AQ$5),($J15*$C15),0)</f>
        <v>0</v>
      </c>
      <c r="AR15" s="772">
        <f>IF(AND(MONTH((DATE(1899,12,31)+(0*7+IF($K15&gt;60,$K15-1,$K15))))=$AR$8,YEAR((DATE(1899,12,31)+(0*7+IF($K15&gt;60,$K15-1,$K15))))=$AR$5),($J15*$C15),0)</f>
        <v>0</v>
      </c>
      <c r="AS15" s="772">
        <f>IF(AND(MONTH((DATE(1899,12,31)+(0*7+IF($K15&gt;60,$K15-1,$K15))))=$AS$8,YEAR((DATE(1899,12,31)+(0*7+IF($K15&gt;60,$K15-1,$K15))))=$AS$5),($J15*$C15),0)</f>
        <v>0</v>
      </c>
      <c r="AT15" s="772">
        <f>IF(AND(MONTH((DATE(1899,12,31)+(0*7+IF($K15&gt;60,$K15-1,$K15))))=$AT$8,YEAR((DATE(1899,12,31)+(0*7+IF($K15&gt;60,$K15-1,$K15))))=$AT$5),($J15*$C15),0)</f>
        <v>0</v>
      </c>
      <c r="AU15" s="772">
        <f>IF(AND(MONTH((DATE(1899,12,31)+(0*7+IF($K15&gt;60,$K15-1,$K15))))=$AU$8,YEAR((DATE(1899,12,31)+(0*7+IF($K15&gt;60,$K15-1,$K15))))=$AU$5),($J15*$C15),0)</f>
        <v>0</v>
      </c>
      <c r="AV15" s="772">
        <f>IF(AND(MONTH((DATE(1899,12,31)+(0*7+IF($K15&gt;60,$K15-1,$K15))))=$AV$8,YEAR((DATE(1899,12,31)+(0*7+IF($K15&gt;60,$K15-1,$K15))))=$AV$5),($J15*$C15),0)</f>
        <v>0</v>
      </c>
      <c r="AW15" s="772">
        <f>IF(AND(MONTH((DATE(1899,12,31)+(0*7+IF($K15&gt;60,$K15-1,$K15))))=$AW$8,YEAR((DATE(1899,12,31)+(0*7+IF($K15&gt;60,$K15-1,$K15))))=$AW$5),($J15*$C15),0)</f>
        <v>0</v>
      </c>
      <c r="AX15" s="772">
        <f>IF(AND(MONTH((DATE(1899,12,31)+(0*7+IF($K15&gt;60,$K15-1,$K15))))=$AX$8,YEAR((DATE(1899,12,31)+(0*7+IF($K15&gt;60,$K15-1,$K15))))=$AX$5),($J15*$C15),0)</f>
        <v>0</v>
      </c>
      <c r="AY15" s="772">
        <f>IF(AND(MONTH((DATE(1899,12,31)+(0*7+IF($K15&gt;60,$K15-1,$K15))))=$AY$8,YEAR((DATE(1899,12,31)+(0*7+IF($K15&gt;60,$K15-1,$K15))))=$AY$5),($J15*$C15),0)</f>
        <v>0</v>
      </c>
      <c r="AZ15" s="772">
        <f>IF(AND(MONTH((DATE(1899,12,31)+(0*7+IF($K15&gt;60,$K15-1,$K15))))=$AZ$8,YEAR((DATE(1899,12,31)+(0*7+IF($K15&gt;60,$K15-1,$K15))))=$AZ$5),($J15*$C15),0)</f>
        <v>0</v>
      </c>
      <c r="BA15" s="772">
        <f>IF(AND(MONTH((DATE(1899,12,31)+(0*7+IF($K15&gt;60,$K15-1,$K15))))=$BA$8,YEAR((DATE(1899,12,31)+(0*7+IF($K15&gt;60,$K15-1,$K15))))=$BA$5),($J15*$C15),0)</f>
        <v>0</v>
      </c>
      <c r="BB15" s="772">
        <f>IF(AND(MONTH((DATE(1899,12,31)+(0*7+IF($K15&gt;60,$K15-1,$K15))))=$BB$8,YEAR((DATE(1899,12,31)+(0*7+IF($K15&gt;60,$K15-1,$K15))))=$BB$5),($J15*$C15),0)</f>
        <v>0</v>
      </c>
      <c r="BC15" s="772">
        <f>IF(AND(MONTH((DATE(1899,12,31)+(0*7+IF($K15&gt;60,$K15-1,$K15))))=$BC$8,YEAR((DATE(1899,12,31)+(0*7+IF($K15&gt;60,$K15-1,$K15))))=$BC$5),($J15*$C15),0)</f>
        <v>0</v>
      </c>
      <c r="BD15" s="772">
        <f>IF(AND(MONTH((DATE(1899,12,31)+(0*7+IF($K15&gt;60,$K15-1,$K15))))=$BD$8,YEAR((DATE(1899,12,31)+(0*7+IF($K15&gt;60,$K15-1,$K15))))=$BD$5),($J15*$C15),0)</f>
        <v>0</v>
      </c>
      <c r="BE15" s="772">
        <f>IF(AND(MONTH((DATE(1899,12,31)+(0*7+IF($K15&gt;60,$K15-1,$K15))))=$BE$8,YEAR((DATE(1899,12,31)+(0*7+IF($K15&gt;60,$K15-1,$K15))))=$BE$5),($J15*$C15),0)</f>
        <v>0</v>
      </c>
      <c r="BF15" s="772">
        <f>IF(AND(MONTH((DATE(1899,12,31)+(0*7+IF($K15&gt;60,$K15-1,$K15))))=$BF$8,YEAR((DATE(1899,12,31)+(0*7+IF($K15&gt;60,$K15-1,$K15))))=$BF$5),($J15*$C15),0)</f>
        <v>0</v>
      </c>
      <c r="BG15" s="772">
        <f>IF(AND(MONTH((DATE(1899,12,31)+(0*7+IF($K15&gt;60,$K15-1,$K15))))=$BG$8,YEAR((DATE(1899,12,31)+(0*7+IF($K15&gt;60,$K15-1,$K15))))=$BG$5),($J15*$C15),0)</f>
        <v>0</v>
      </c>
      <c r="BH15" s="772">
        <f>IF(AND(MONTH((DATE(1899,12,31)+(0*7+IF($K15&gt;60,$K15-1,$K15))))=$BH$8,YEAR((DATE(1899,12,31)+(0*7+IF($K15&gt;60,$K15-1,$K15))))=$BH$5),($J15*$C15),0)</f>
        <v>0</v>
      </c>
      <c r="BI15" s="772">
        <f>IF(AND(MONTH((DATE(1899,12,31)+(0*7+IF($K15&gt;60,$K15-1,$K15))))=$BI$8,YEAR((DATE(1899,12,31)+(0*7+IF($K15&gt;60,$K15-1,$K15))))=$BI$5),($J15*$C15),0)</f>
        <v>0</v>
      </c>
      <c r="BJ15" s="772">
        <f>IF(AND(MONTH((DATE(1899,12,31)+(0*7+IF($K15&gt;60,$K15-1,$K15))))=$BJ$8,YEAR((DATE(1899,12,31)+(0*7+IF($K15&gt;60,$K15-1,$K15))))=$BJ$5),($J15*$C15),0)</f>
        <v>0</v>
      </c>
      <c r="BK15" s="772">
        <f>IF(AND(MONTH((DATE(1899,12,31)+(0*7+IF($K15&gt;60,$K15-1,$K15))))=$BK$8,YEAR((DATE(1899,12,31)+(0*7+IF($K15&gt;60,$K15-1,$K15))))=$BK$5),($J15*$C15),0)</f>
        <v>0</v>
      </c>
      <c r="BL15" s="772">
        <f>IF(AND(MONTH((DATE(1899,12,31)+(0*7+IF($K15&gt;60,$K15-1,$K15))))=$BL$8,YEAR((DATE(1899,12,31)+(0*7+IF($K15&gt;60,$K15-1,$K15))))=$BL$5),($J15*$C15),0)</f>
        <v>0</v>
      </c>
      <c r="BM15" s="772">
        <f>IF(AND(MONTH((DATE(1899,12,31)+(0*7+IF($K15&gt;60,$K15-1,$K15))))=$BM$8,YEAR((DATE(1899,12,31)+(0*7+IF($K15&gt;60,$K15-1,$K15))))=$BM$5),($J15*$C15),0)</f>
        <v>0</v>
      </c>
      <c r="BN15" s="772">
        <f>IF(AND(MONTH((DATE(1899,12,31)+(0*7+IF($K15&gt;60,$K15-1,$K15))))=$BN$8,YEAR((DATE(1899,12,31)+(0*7+IF($K15&gt;60,$K15-1,$K15))))=$BN$5),($J15*$C15),0)</f>
        <v>0</v>
      </c>
      <c r="BO15" s="772">
        <f>IF(AND(MONTH((DATE(1899,12,31)+(0*7+IF($K15&gt;60,$K15-1,$K15))))=$BO$8,YEAR((DATE(1899,12,31)+(0*7+IF($K15&gt;60,$K15-1,$K15))))=$BO$5),($J15*$C15),0)</f>
        <v>0</v>
      </c>
      <c r="BP15" s="772">
        <f>IF(AND(MONTH((DATE(1899,12,31)+(0*7+IF($K15&gt;60,$K15-1,$K15))))=$BP$8,YEAR((DATE(1899,12,31)+(0*7+IF($K15&gt;60,$K15-1,$K15))))=$BP$5),($J15*$C15),0)</f>
        <v>0</v>
      </c>
    </row>
    <row r="16" s="58" customFormat="1" ht="18" customHeight="1">
      <c r="B16" s="539"/>
      <c r="C16" s="539"/>
      <c r="D16" t="s" s="540">
        <f>LEFT(B16,1)</f>
      </c>
      <c r="E16" s="540">
        <f>IF(C16="",0,(IF(LEN(B16)=5,MID(B16,3,1),MID(B16,3,2))))</f>
        <v>0</v>
      </c>
      <c r="F16" s="540">
        <f>IF(Z16="H","House",IF(Z16="B","Bungalow",IF(Z16="F","Flat",IF(Z16="S","Shared",IF(Z16="T","Bedsit",IF(Z16="A","Wheelchair Flat",IF(Z16="W","Wheelchair",0)))))))</f>
        <v>0</v>
      </c>
      <c r="G16" s="539"/>
      <c r="H16" s="541"/>
      <c r="I16" s="773">
        <f>I15</f>
        <v>0.5</v>
      </c>
      <c r="J16" s="774">
        <f>H16*I16</f>
        <v>0</v>
      </c>
      <c r="K16" s="775"/>
      <c r="R16" s="759">
        <f>IF(C16=0,0,(C16*G16)/$G$21*$R$21)</f>
        <v>0</v>
      </c>
      <c r="S16" s="532">
        <f>R16*I16</f>
        <v>0</v>
      </c>
      <c r="X16" s="532"/>
      <c r="Y16" s="108"/>
      <c r="Z16" t="s" s="62">
        <f>RIGHT(B16,1)</f>
      </c>
      <c r="AC16" t="s" s="90">
        <v>769</v>
      </c>
      <c r="AG16" s="772">
        <f>IF(AND(MONTH((DATE(1899,12,31)+(0*7+IF($K16&gt;60,$K16-1,$K16))))=$AG$8,YEAR((DATE(1899,12,31)+(0*7+IF($K16&gt;60,$K16-1,$K16))))=$AG$5),($J16*$C16),0)</f>
        <v>0</v>
      </c>
      <c r="AH16" s="772">
        <f>IF(AND(MONTH((DATE(1899,12,31)+(0*7+IF($K16&gt;60,$K16-1,$K16))))=$AH$8,YEAR((DATE(1899,12,31)+(0*7+IF($K16&gt;60,$K16-1,$K16))))=$AH$5),($J16*$C16),0)</f>
        <v>0</v>
      </c>
      <c r="AI16" s="772">
        <f>IF(AND(MONTH((DATE(1899,12,31)+(0*7+IF($K16&gt;60,$K16-1,$K16))))=$AI$8,YEAR((DATE(1899,12,31)+(0*7+IF($K16&gt;60,$K16-1,$K16))))=$AI$5),($J16*$C16),0)</f>
        <v>0</v>
      </c>
      <c r="AJ16" s="772">
        <f>IF(AND(MONTH((DATE(1899,12,31)+(0*7+IF($K16&gt;60,$K16-1,$K16))))=$AJ$8,YEAR((DATE(1899,12,31)+(0*7+IF($K16&gt;60,$K16-1,$K16))))=$AJ$5),($J16*$C16),0)</f>
        <v>0</v>
      </c>
      <c r="AK16" s="772">
        <f>IF(AND(MONTH((DATE(1899,12,31)+(0*7+IF($K16&gt;60,$K16-1,$K16))))=$AK$8,YEAR((DATE(1899,12,31)+(0*7+IF($K16&gt;60,$K16-1,$K16))))=$AK$5),($J16*$C16),0)</f>
        <v>0</v>
      </c>
      <c r="AL16" s="772">
        <f>IF(AND(MONTH((DATE(1899,12,31)+(0*7+IF($K16&gt;60,$K16-1,$K16))))=$AL$8,YEAR((DATE(1899,12,31)+(0*7+IF($K16&gt;60,$K16-1,$K16))))=$AL$5),($J16*$C16),0)</f>
        <v>0</v>
      </c>
      <c r="AM16" s="772">
        <f>IF(AND(MONTH((DATE(1899,12,31)+(0*7+IF($K16&gt;60,$K16-1,$K16))))=$AM$8,YEAR((DATE(1899,12,31)+(0*7+IF($K16&gt;60,$K16-1,$K16))))=$AM$5),($J16*$C16),0)</f>
        <v>0</v>
      </c>
      <c r="AN16" s="772">
        <f>IF(AND(MONTH((DATE(1899,12,31)+(0*7+IF($K16&gt;60,$K16-1,$K16))))=$AN$8,YEAR((DATE(1899,12,31)+(0*7+IF($K16&gt;60,$K16-1,$K16))))=$AN$5),($J16*$C16),0)</f>
        <v>0</v>
      </c>
      <c r="AO16" s="772">
        <f>IF(AND(MONTH((DATE(1899,12,31)+(0*7+IF($K16&gt;60,$K16-1,$K16))))=$AO$8,YEAR((DATE(1899,12,31)+(0*7+IF($K16&gt;60,$K16-1,$K16))))=$AO$5),($J16*$C16),0)</f>
        <v>0</v>
      </c>
      <c r="AP16" s="772">
        <f>IF(AND(MONTH((DATE(1899,12,31)+(0*7+IF($K16&gt;60,$K16-1,$K16))))=$AP$8,YEAR((DATE(1899,12,31)+(0*7+IF($K16&gt;60,$K16-1,$K16))))=$AP$5),($J16*$C16),0)</f>
        <v>0</v>
      </c>
      <c r="AQ16" s="772">
        <f>IF(AND(MONTH((DATE(1899,12,31)+(0*7+IF($K16&gt;60,$K16-1,$K16))))=$AQ$8,YEAR((DATE(1899,12,31)+(0*7+IF($K16&gt;60,$K16-1,$K16))))=$AQ$5),($J16*$C16),0)</f>
        <v>0</v>
      </c>
      <c r="AR16" s="772">
        <f>IF(AND(MONTH((DATE(1899,12,31)+(0*7+IF($K16&gt;60,$K16-1,$K16))))=$AR$8,YEAR((DATE(1899,12,31)+(0*7+IF($K16&gt;60,$K16-1,$K16))))=$AR$5),($J16*$C16),0)</f>
        <v>0</v>
      </c>
      <c r="AS16" s="772">
        <f>IF(AND(MONTH((DATE(1899,12,31)+(0*7+IF($K16&gt;60,$K16-1,$K16))))=$AS$8,YEAR((DATE(1899,12,31)+(0*7+IF($K16&gt;60,$K16-1,$K16))))=$AS$5),($J16*$C16),0)</f>
        <v>0</v>
      </c>
      <c r="AT16" s="772">
        <f>IF(AND(MONTH((DATE(1899,12,31)+(0*7+IF($K16&gt;60,$K16-1,$K16))))=$AT$8,YEAR((DATE(1899,12,31)+(0*7+IF($K16&gt;60,$K16-1,$K16))))=$AT$5),($J16*$C16),0)</f>
        <v>0</v>
      </c>
      <c r="AU16" s="772">
        <f>IF(AND(MONTH((DATE(1899,12,31)+(0*7+IF($K16&gt;60,$K16-1,$K16))))=$AU$8,YEAR((DATE(1899,12,31)+(0*7+IF($K16&gt;60,$K16-1,$K16))))=$AU$5),($J16*$C16),0)</f>
        <v>0</v>
      </c>
      <c r="AV16" s="772">
        <f>IF(AND(MONTH((DATE(1899,12,31)+(0*7+IF($K16&gt;60,$K16-1,$K16))))=$AV$8,YEAR((DATE(1899,12,31)+(0*7+IF($K16&gt;60,$K16-1,$K16))))=$AV$5),($J16*$C16),0)</f>
        <v>0</v>
      </c>
      <c r="AW16" s="772">
        <f>IF(AND(MONTH((DATE(1899,12,31)+(0*7+IF($K16&gt;60,$K16-1,$K16))))=$AW$8,YEAR((DATE(1899,12,31)+(0*7+IF($K16&gt;60,$K16-1,$K16))))=$AW$5),($J16*$C16),0)</f>
        <v>0</v>
      </c>
      <c r="AX16" s="772">
        <f>IF(AND(MONTH((DATE(1899,12,31)+(0*7+IF($K16&gt;60,$K16-1,$K16))))=$AX$8,YEAR((DATE(1899,12,31)+(0*7+IF($K16&gt;60,$K16-1,$K16))))=$AX$5),($J16*$C16),0)</f>
        <v>0</v>
      </c>
      <c r="AY16" s="772">
        <f>IF(AND(MONTH((DATE(1899,12,31)+(0*7+IF($K16&gt;60,$K16-1,$K16))))=$AY$8,YEAR((DATE(1899,12,31)+(0*7+IF($K16&gt;60,$K16-1,$K16))))=$AY$5),($J16*$C16),0)</f>
        <v>0</v>
      </c>
      <c r="AZ16" s="772">
        <f>IF(AND(MONTH((DATE(1899,12,31)+(0*7+IF($K16&gt;60,$K16-1,$K16))))=$AZ$8,YEAR((DATE(1899,12,31)+(0*7+IF($K16&gt;60,$K16-1,$K16))))=$AZ$5),($J16*$C16),0)</f>
        <v>0</v>
      </c>
      <c r="BA16" s="772">
        <f>IF(AND(MONTH((DATE(1899,12,31)+(0*7+IF($K16&gt;60,$K16-1,$K16))))=$BA$8,YEAR((DATE(1899,12,31)+(0*7+IF($K16&gt;60,$K16-1,$K16))))=$BA$5),($J16*$C16),0)</f>
        <v>0</v>
      </c>
      <c r="BB16" s="772">
        <f>IF(AND(MONTH((DATE(1899,12,31)+(0*7+IF($K16&gt;60,$K16-1,$K16))))=$BB$8,YEAR((DATE(1899,12,31)+(0*7+IF($K16&gt;60,$K16-1,$K16))))=$BB$5),($J16*$C16),0)</f>
        <v>0</v>
      </c>
      <c r="BC16" s="772">
        <f>IF(AND(MONTH((DATE(1899,12,31)+(0*7+IF($K16&gt;60,$K16-1,$K16))))=$BC$8,YEAR((DATE(1899,12,31)+(0*7+IF($K16&gt;60,$K16-1,$K16))))=$BC$5),($J16*$C16),0)</f>
        <v>0</v>
      </c>
      <c r="BD16" s="772">
        <f>IF(AND(MONTH((DATE(1899,12,31)+(0*7+IF($K16&gt;60,$K16-1,$K16))))=$BD$8,YEAR((DATE(1899,12,31)+(0*7+IF($K16&gt;60,$K16-1,$K16))))=$BD$5),($J16*$C16),0)</f>
        <v>0</v>
      </c>
      <c r="BE16" s="772">
        <f>IF(AND(MONTH((DATE(1899,12,31)+(0*7+IF($K16&gt;60,$K16-1,$K16))))=$BE$8,YEAR((DATE(1899,12,31)+(0*7+IF($K16&gt;60,$K16-1,$K16))))=$BE$5),($J16*$C16),0)</f>
        <v>0</v>
      </c>
      <c r="BF16" s="772">
        <f>IF(AND(MONTH((DATE(1899,12,31)+(0*7+IF($K16&gt;60,$K16-1,$K16))))=$BF$8,YEAR((DATE(1899,12,31)+(0*7+IF($K16&gt;60,$K16-1,$K16))))=$BF$5),($J16*$C16),0)</f>
        <v>0</v>
      </c>
      <c r="BG16" s="772">
        <f>IF(AND(MONTH((DATE(1899,12,31)+(0*7+IF($K16&gt;60,$K16-1,$K16))))=$BG$8,YEAR((DATE(1899,12,31)+(0*7+IF($K16&gt;60,$K16-1,$K16))))=$BG$5),($J16*$C16),0)</f>
        <v>0</v>
      </c>
      <c r="BH16" s="772">
        <f>IF(AND(MONTH((DATE(1899,12,31)+(0*7+IF($K16&gt;60,$K16-1,$K16))))=$BH$8,YEAR((DATE(1899,12,31)+(0*7+IF($K16&gt;60,$K16-1,$K16))))=$BH$5),($J16*$C16),0)</f>
        <v>0</v>
      </c>
      <c r="BI16" s="772">
        <f>IF(AND(MONTH((DATE(1899,12,31)+(0*7+IF($K16&gt;60,$K16-1,$K16))))=$BI$8,YEAR((DATE(1899,12,31)+(0*7+IF($K16&gt;60,$K16-1,$K16))))=$BI$5),($J16*$C16),0)</f>
        <v>0</v>
      </c>
      <c r="BJ16" s="772">
        <f>IF(AND(MONTH((DATE(1899,12,31)+(0*7+IF($K16&gt;60,$K16-1,$K16))))=$BJ$8,YEAR((DATE(1899,12,31)+(0*7+IF($K16&gt;60,$K16-1,$K16))))=$BJ$5),($J16*$C16),0)</f>
        <v>0</v>
      </c>
      <c r="BK16" s="772">
        <f>IF(AND(MONTH((DATE(1899,12,31)+(0*7+IF($K16&gt;60,$K16-1,$K16))))=$BK$8,YEAR((DATE(1899,12,31)+(0*7+IF($K16&gt;60,$K16-1,$K16))))=$BK$5),($J16*$C16),0)</f>
        <v>0</v>
      </c>
      <c r="BL16" s="772">
        <f>IF(AND(MONTH((DATE(1899,12,31)+(0*7+IF($K16&gt;60,$K16-1,$K16))))=$BL$8,YEAR((DATE(1899,12,31)+(0*7+IF($K16&gt;60,$K16-1,$K16))))=$BL$5),($J16*$C16),0)</f>
        <v>0</v>
      </c>
      <c r="BM16" s="772">
        <f>IF(AND(MONTH((DATE(1899,12,31)+(0*7+IF($K16&gt;60,$K16-1,$K16))))=$BM$8,YEAR((DATE(1899,12,31)+(0*7+IF($K16&gt;60,$K16-1,$K16))))=$BM$5),($J16*$C16),0)</f>
        <v>0</v>
      </c>
      <c r="BN16" s="772">
        <f>IF(AND(MONTH((DATE(1899,12,31)+(0*7+IF($K16&gt;60,$K16-1,$K16))))=$BN$8,YEAR((DATE(1899,12,31)+(0*7+IF($K16&gt;60,$K16-1,$K16))))=$BN$5),($J16*$C16),0)</f>
        <v>0</v>
      </c>
      <c r="BO16" s="772">
        <f>IF(AND(MONTH((DATE(1899,12,31)+(0*7+IF($K16&gt;60,$K16-1,$K16))))=$BO$8,YEAR((DATE(1899,12,31)+(0*7+IF($K16&gt;60,$K16-1,$K16))))=$BO$5),($J16*$C16),0)</f>
        <v>0</v>
      </c>
      <c r="BP16" s="772">
        <f>IF(AND(MONTH((DATE(1899,12,31)+(0*7+IF($K16&gt;60,$K16-1,$K16))))=$BP$8,YEAR((DATE(1899,12,31)+(0*7+IF($K16&gt;60,$K16-1,$K16))))=$BP$5),($J16*$C16),0)</f>
        <v>0</v>
      </c>
    </row>
    <row r="17" s="58" customFormat="1" ht="18" customHeight="1">
      <c r="B17" s="539"/>
      <c r="C17" s="539"/>
      <c r="D17" t="s" s="540">
        <f>LEFT(B17,1)</f>
      </c>
      <c r="E17" s="540">
        <f>IF(C17="",0,(IF(LEN(B17)=5,MID(B17,3,1),MID(B17,3,2))))</f>
        <v>0</v>
      </c>
      <c r="F17" s="540">
        <f>IF(Z17="H","House",IF(Z17="B","Bungalow",IF(Z17="F","Flat",IF(Z17="S","Shared",IF(Z17="T","Bedsit",IF(Z17="A","Wheelchair Flat",IF(Z17="W","Wheelchair",0)))))))</f>
        <v>0</v>
      </c>
      <c r="G17" s="539"/>
      <c r="H17" s="541"/>
      <c r="I17" s="773">
        <f>I16</f>
        <v>0.5</v>
      </c>
      <c r="J17" s="774">
        <f>H17*I17</f>
        <v>0</v>
      </c>
      <c r="K17" s="775"/>
      <c r="R17" s="759">
        <f>IF(C17=0,0,(C17*G17)/$G$21*$R$21)</f>
        <v>0</v>
      </c>
      <c r="S17" s="532">
        <f>R17*I17</f>
        <v>0</v>
      </c>
      <c r="X17" s="532"/>
      <c r="Y17" s="108"/>
      <c r="Z17" t="s" s="62">
        <f>RIGHT(B17,1)</f>
      </c>
      <c r="AC17" t="s" s="90">
        <v>772</v>
      </c>
      <c r="AG17" s="772">
        <f>IF(AND(MONTH((DATE(1899,12,31)+(0*7+IF($K17&gt;60,$K17-1,$K17))))=$AG$8,YEAR((DATE(1899,12,31)+(0*7+IF($K17&gt;60,$K17-1,$K17))))=$AG$5),($J17*$C17),0)</f>
        <v>0</v>
      </c>
      <c r="AH17" s="772">
        <f>IF(AND(MONTH((DATE(1899,12,31)+(0*7+IF($K17&gt;60,$K17-1,$K17))))=$AH$8,YEAR((DATE(1899,12,31)+(0*7+IF($K17&gt;60,$K17-1,$K17))))=$AH$5),($J17*$C17),0)</f>
        <v>0</v>
      </c>
      <c r="AI17" s="772">
        <f>IF(AND(MONTH((DATE(1899,12,31)+(0*7+IF($K17&gt;60,$K17-1,$K17))))=$AI$8,YEAR((DATE(1899,12,31)+(0*7+IF($K17&gt;60,$K17-1,$K17))))=$AI$5),($J17*$C17),0)</f>
        <v>0</v>
      </c>
      <c r="AJ17" s="772">
        <f>IF(AND(MONTH((DATE(1899,12,31)+(0*7+IF($K17&gt;60,$K17-1,$K17))))=$AJ$8,YEAR((DATE(1899,12,31)+(0*7+IF($K17&gt;60,$K17-1,$K17))))=$AJ$5),($J17*$C17),0)</f>
        <v>0</v>
      </c>
      <c r="AK17" s="772">
        <f>IF(AND(MONTH((DATE(1899,12,31)+(0*7+IF($K17&gt;60,$K17-1,$K17))))=$AK$8,YEAR((DATE(1899,12,31)+(0*7+IF($K17&gt;60,$K17-1,$K17))))=$AK$5),($J17*$C17),0)</f>
        <v>0</v>
      </c>
      <c r="AL17" s="772">
        <f>IF(AND(MONTH((DATE(1899,12,31)+(0*7+IF($K17&gt;60,$K17-1,$K17))))=$AL$8,YEAR((DATE(1899,12,31)+(0*7+IF($K17&gt;60,$K17-1,$K17))))=$AL$5),($J17*$C17),0)</f>
        <v>0</v>
      </c>
      <c r="AM17" s="772">
        <f>IF(AND(MONTH((DATE(1899,12,31)+(0*7+IF($K17&gt;60,$K17-1,$K17))))=$AM$8,YEAR((DATE(1899,12,31)+(0*7+IF($K17&gt;60,$K17-1,$K17))))=$AM$5),($J17*$C17),0)</f>
        <v>0</v>
      </c>
      <c r="AN17" s="772">
        <f>IF(AND(MONTH((DATE(1899,12,31)+(0*7+IF($K17&gt;60,$K17-1,$K17))))=$AN$8,YEAR((DATE(1899,12,31)+(0*7+IF($K17&gt;60,$K17-1,$K17))))=$AN$5),($J17*$C17),0)</f>
        <v>0</v>
      </c>
      <c r="AO17" s="772">
        <f>IF(AND(MONTH((DATE(1899,12,31)+(0*7+IF($K17&gt;60,$K17-1,$K17))))=$AO$8,YEAR((DATE(1899,12,31)+(0*7+IF($K17&gt;60,$K17-1,$K17))))=$AO$5),($J17*$C17),0)</f>
        <v>0</v>
      </c>
      <c r="AP17" s="772">
        <f>IF(AND(MONTH((DATE(1899,12,31)+(0*7+IF($K17&gt;60,$K17-1,$K17))))=$AP$8,YEAR((DATE(1899,12,31)+(0*7+IF($K17&gt;60,$K17-1,$K17))))=$AP$5),($J17*$C17),0)</f>
        <v>0</v>
      </c>
      <c r="AQ17" s="772">
        <f>IF(AND(MONTH((DATE(1899,12,31)+(0*7+IF($K17&gt;60,$K17-1,$K17))))=$AQ$8,YEAR((DATE(1899,12,31)+(0*7+IF($K17&gt;60,$K17-1,$K17))))=$AQ$5),($J17*$C17),0)</f>
        <v>0</v>
      </c>
      <c r="AR17" s="772">
        <f>IF(AND(MONTH((DATE(1899,12,31)+(0*7+IF($K17&gt;60,$K17-1,$K17))))=$AR$8,YEAR((DATE(1899,12,31)+(0*7+IF($K17&gt;60,$K17-1,$K17))))=$AR$5),($J17*$C17),0)</f>
        <v>0</v>
      </c>
      <c r="AS17" s="772">
        <f>IF(AND(MONTH((DATE(1899,12,31)+(0*7+IF($K17&gt;60,$K17-1,$K17))))=$AS$8,YEAR((DATE(1899,12,31)+(0*7+IF($K17&gt;60,$K17-1,$K17))))=$AS$5),($J17*$C17),0)</f>
        <v>0</v>
      </c>
      <c r="AT17" s="772">
        <f>IF(AND(MONTH((DATE(1899,12,31)+(0*7+IF($K17&gt;60,$K17-1,$K17))))=$AT$8,YEAR((DATE(1899,12,31)+(0*7+IF($K17&gt;60,$K17-1,$K17))))=$AT$5),($J17*$C17),0)</f>
        <v>0</v>
      </c>
      <c r="AU17" s="772">
        <f>IF(AND(MONTH((DATE(1899,12,31)+(0*7+IF($K17&gt;60,$K17-1,$K17))))=$AU$8,YEAR((DATE(1899,12,31)+(0*7+IF($K17&gt;60,$K17-1,$K17))))=$AU$5),($J17*$C17),0)</f>
        <v>0</v>
      </c>
      <c r="AV17" s="772">
        <f>IF(AND(MONTH((DATE(1899,12,31)+(0*7+IF($K17&gt;60,$K17-1,$K17))))=$AV$8,YEAR((DATE(1899,12,31)+(0*7+IF($K17&gt;60,$K17-1,$K17))))=$AV$5),($J17*$C17),0)</f>
        <v>0</v>
      </c>
      <c r="AW17" s="772">
        <f>IF(AND(MONTH((DATE(1899,12,31)+(0*7+IF($K17&gt;60,$K17-1,$K17))))=$AW$8,YEAR((DATE(1899,12,31)+(0*7+IF($K17&gt;60,$K17-1,$K17))))=$AW$5),($J17*$C17),0)</f>
        <v>0</v>
      </c>
      <c r="AX17" s="772">
        <f>IF(AND(MONTH((DATE(1899,12,31)+(0*7+IF($K17&gt;60,$K17-1,$K17))))=$AX$8,YEAR((DATE(1899,12,31)+(0*7+IF($K17&gt;60,$K17-1,$K17))))=$AX$5),($J17*$C17),0)</f>
        <v>0</v>
      </c>
      <c r="AY17" s="772">
        <f>IF(AND(MONTH((DATE(1899,12,31)+(0*7+IF($K17&gt;60,$K17-1,$K17))))=$AY$8,YEAR((DATE(1899,12,31)+(0*7+IF($K17&gt;60,$K17-1,$K17))))=$AY$5),($J17*$C17),0)</f>
        <v>0</v>
      </c>
      <c r="AZ17" s="772">
        <f>IF(AND(MONTH((DATE(1899,12,31)+(0*7+IF($K17&gt;60,$K17-1,$K17))))=$AZ$8,YEAR((DATE(1899,12,31)+(0*7+IF($K17&gt;60,$K17-1,$K17))))=$AZ$5),($J17*$C17),0)</f>
        <v>0</v>
      </c>
      <c r="BA17" s="772">
        <f>IF(AND(MONTH((DATE(1899,12,31)+(0*7+IF($K17&gt;60,$K17-1,$K17))))=$BA$8,YEAR((DATE(1899,12,31)+(0*7+IF($K17&gt;60,$K17-1,$K17))))=$BA$5),($J17*$C17),0)</f>
        <v>0</v>
      </c>
      <c r="BB17" s="772">
        <f>IF(AND(MONTH((DATE(1899,12,31)+(0*7+IF($K17&gt;60,$K17-1,$K17))))=$BB$8,YEAR((DATE(1899,12,31)+(0*7+IF($K17&gt;60,$K17-1,$K17))))=$BB$5),($J17*$C17),0)</f>
        <v>0</v>
      </c>
      <c r="BC17" s="772">
        <f>IF(AND(MONTH((DATE(1899,12,31)+(0*7+IF($K17&gt;60,$K17-1,$K17))))=$BC$8,YEAR((DATE(1899,12,31)+(0*7+IF($K17&gt;60,$K17-1,$K17))))=$BC$5),($J17*$C17),0)</f>
        <v>0</v>
      </c>
      <c r="BD17" s="772">
        <f>IF(AND(MONTH((DATE(1899,12,31)+(0*7+IF($K17&gt;60,$K17-1,$K17))))=$BD$8,YEAR((DATE(1899,12,31)+(0*7+IF($K17&gt;60,$K17-1,$K17))))=$BD$5),($J17*$C17),0)</f>
        <v>0</v>
      </c>
      <c r="BE17" s="772">
        <f>IF(AND(MONTH((DATE(1899,12,31)+(0*7+IF($K17&gt;60,$K17-1,$K17))))=$BE$8,YEAR((DATE(1899,12,31)+(0*7+IF($K17&gt;60,$K17-1,$K17))))=$BE$5),($J17*$C17),0)</f>
        <v>0</v>
      </c>
      <c r="BF17" s="772">
        <f>IF(AND(MONTH((DATE(1899,12,31)+(0*7+IF($K17&gt;60,$K17-1,$K17))))=$BF$8,YEAR((DATE(1899,12,31)+(0*7+IF($K17&gt;60,$K17-1,$K17))))=$BF$5),($J17*$C17),0)</f>
        <v>0</v>
      </c>
      <c r="BG17" s="772">
        <f>IF(AND(MONTH((DATE(1899,12,31)+(0*7+IF($K17&gt;60,$K17-1,$K17))))=$BG$8,YEAR((DATE(1899,12,31)+(0*7+IF($K17&gt;60,$K17-1,$K17))))=$BG$5),($J17*$C17),0)</f>
        <v>0</v>
      </c>
      <c r="BH17" s="772">
        <f>IF(AND(MONTH((DATE(1899,12,31)+(0*7+IF($K17&gt;60,$K17-1,$K17))))=$BH$8,YEAR((DATE(1899,12,31)+(0*7+IF($K17&gt;60,$K17-1,$K17))))=$BH$5),($J17*$C17),0)</f>
        <v>0</v>
      </c>
      <c r="BI17" s="772">
        <f>IF(AND(MONTH((DATE(1899,12,31)+(0*7+IF($K17&gt;60,$K17-1,$K17))))=$BI$8,YEAR((DATE(1899,12,31)+(0*7+IF($K17&gt;60,$K17-1,$K17))))=$BI$5),($J17*$C17),0)</f>
        <v>0</v>
      </c>
      <c r="BJ17" s="772">
        <f>IF(AND(MONTH((DATE(1899,12,31)+(0*7+IF($K17&gt;60,$K17-1,$K17))))=$BJ$8,YEAR((DATE(1899,12,31)+(0*7+IF($K17&gt;60,$K17-1,$K17))))=$BJ$5),($J17*$C17),0)</f>
        <v>0</v>
      </c>
      <c r="BK17" s="772">
        <f>IF(AND(MONTH((DATE(1899,12,31)+(0*7+IF($K17&gt;60,$K17-1,$K17))))=$BK$8,YEAR((DATE(1899,12,31)+(0*7+IF($K17&gt;60,$K17-1,$K17))))=$BK$5),($J17*$C17),0)</f>
        <v>0</v>
      </c>
      <c r="BL17" s="772">
        <f>IF(AND(MONTH((DATE(1899,12,31)+(0*7+IF($K17&gt;60,$K17-1,$K17))))=$BL$8,YEAR((DATE(1899,12,31)+(0*7+IF($K17&gt;60,$K17-1,$K17))))=$BL$5),($J17*$C17),0)</f>
        <v>0</v>
      </c>
      <c r="BM17" s="772">
        <f>IF(AND(MONTH((DATE(1899,12,31)+(0*7+IF($K17&gt;60,$K17-1,$K17))))=$BM$8,YEAR((DATE(1899,12,31)+(0*7+IF($K17&gt;60,$K17-1,$K17))))=$BM$5),($J17*$C17),0)</f>
        <v>0</v>
      </c>
      <c r="BN17" s="772">
        <f>IF(AND(MONTH((DATE(1899,12,31)+(0*7+IF($K17&gt;60,$K17-1,$K17))))=$BN$8,YEAR((DATE(1899,12,31)+(0*7+IF($K17&gt;60,$K17-1,$K17))))=$BN$5),($J17*$C17),0)</f>
        <v>0</v>
      </c>
      <c r="BO17" s="772">
        <f>IF(AND(MONTH((DATE(1899,12,31)+(0*7+IF($K17&gt;60,$K17-1,$K17))))=$BO$8,YEAR((DATE(1899,12,31)+(0*7+IF($K17&gt;60,$K17-1,$K17))))=$BO$5),($J17*$C17),0)</f>
        <v>0</v>
      </c>
      <c r="BP17" s="772">
        <f>IF(AND(MONTH((DATE(1899,12,31)+(0*7+IF($K17&gt;60,$K17-1,$K17))))=$BP$8,YEAR((DATE(1899,12,31)+(0*7+IF($K17&gt;60,$K17-1,$K17))))=$BP$5),($J17*$C17),0)</f>
        <v>0</v>
      </c>
    </row>
    <row r="18" s="58" customFormat="1" ht="18" customHeight="1">
      <c r="B18" s="539"/>
      <c r="C18" s="539"/>
      <c r="D18" t="s" s="540">
        <f>LEFT(B18,1)</f>
      </c>
      <c r="E18" s="540">
        <f>IF(C18="",0,(IF(LEN(B18)=5,MID(B18,3,1),MID(B18,3,2))))</f>
        <v>0</v>
      </c>
      <c r="F18" s="540">
        <f>IF(Z18="H","House",IF(Z18="B","Bungalow",IF(Z18="F","Flat",IF(Z18="S","Shared",IF(Z18="T","Bedsit",IF(Z18="A","Wheelchair Flat",IF(Z18="W","Wheelchair",0)))))))</f>
        <v>0</v>
      </c>
      <c r="G18" s="539"/>
      <c r="H18" s="541"/>
      <c r="I18" s="773">
        <f>I17</f>
        <v>0.5</v>
      </c>
      <c r="J18" s="774">
        <f>H18*I18</f>
        <v>0</v>
      </c>
      <c r="K18" s="775"/>
      <c r="R18" s="759">
        <f>IF(C18=0,0,(C18*G18)/$G$21*$R$21)</f>
        <v>0</v>
      </c>
      <c r="S18" s="532">
        <f>R18*I18</f>
        <v>0</v>
      </c>
      <c r="X18" s="532"/>
      <c r="Y18" s="108"/>
      <c r="Z18" t="s" s="62">
        <f>RIGHT(B18,1)</f>
      </c>
      <c r="AC18" t="s" s="90">
        <v>775</v>
      </c>
      <c r="AG18" s="772">
        <f>IF(AND(MONTH((DATE(1899,12,31)+(0*7+IF($K18&gt;60,$K18-1,$K18))))=$AG$8,YEAR((DATE(1899,12,31)+(0*7+IF($K18&gt;60,$K18-1,$K18))))=$AG$5),($J18*$C18),0)</f>
        <v>0</v>
      </c>
      <c r="AH18" s="772">
        <f>IF(AND(MONTH((DATE(1899,12,31)+(0*7+IF($K18&gt;60,$K18-1,$K18))))=$AH$8,YEAR((DATE(1899,12,31)+(0*7+IF($K18&gt;60,$K18-1,$K18))))=$AH$5),($J18*$C18),0)</f>
        <v>0</v>
      </c>
      <c r="AI18" s="772">
        <f>IF(AND(MONTH((DATE(1899,12,31)+(0*7+IF($K18&gt;60,$K18-1,$K18))))=$AI$8,YEAR((DATE(1899,12,31)+(0*7+IF($K18&gt;60,$K18-1,$K18))))=$AI$5),($J18*$C18),0)</f>
        <v>0</v>
      </c>
      <c r="AJ18" s="772">
        <f>IF(AND(MONTH((DATE(1899,12,31)+(0*7+IF($K18&gt;60,$K18-1,$K18))))=$AJ$8,YEAR((DATE(1899,12,31)+(0*7+IF($K18&gt;60,$K18-1,$K18))))=$AJ$5),($J18*$C18),0)</f>
        <v>0</v>
      </c>
      <c r="AK18" s="772">
        <f>IF(AND(MONTH((DATE(1899,12,31)+(0*7+IF($K18&gt;60,$K18-1,$K18))))=$AK$8,YEAR((DATE(1899,12,31)+(0*7+IF($K18&gt;60,$K18-1,$K18))))=$AK$5),($J18*$C18),0)</f>
        <v>0</v>
      </c>
      <c r="AL18" s="772">
        <f>IF(AND(MONTH((DATE(1899,12,31)+(0*7+IF($K18&gt;60,$K18-1,$K18))))=$AL$8,YEAR((DATE(1899,12,31)+(0*7+IF($K18&gt;60,$K18-1,$K18))))=$AL$5),($J18*$C18),0)</f>
        <v>0</v>
      </c>
      <c r="AM18" s="772">
        <f>IF(AND(MONTH((DATE(1899,12,31)+(0*7+IF($K18&gt;60,$K18-1,$K18))))=$AM$8,YEAR((DATE(1899,12,31)+(0*7+IF($K18&gt;60,$K18-1,$K18))))=$AM$5),($J18*$C18),0)</f>
        <v>0</v>
      </c>
      <c r="AN18" s="772">
        <f>IF(AND(MONTH((DATE(1899,12,31)+(0*7+IF($K18&gt;60,$K18-1,$K18))))=$AN$8,YEAR((DATE(1899,12,31)+(0*7+IF($K18&gt;60,$K18-1,$K18))))=$AN$5),($J18*$C18),0)</f>
        <v>0</v>
      </c>
      <c r="AO18" s="772">
        <f>IF(AND(MONTH((DATE(1899,12,31)+(0*7+IF($K18&gt;60,$K18-1,$K18))))=$AO$8,YEAR((DATE(1899,12,31)+(0*7+IF($K18&gt;60,$K18-1,$K18))))=$AO$5),($J18*$C18),0)</f>
        <v>0</v>
      </c>
      <c r="AP18" s="772">
        <f>IF(AND(MONTH((DATE(1899,12,31)+(0*7+IF($K18&gt;60,$K18-1,$K18))))=$AP$8,YEAR((DATE(1899,12,31)+(0*7+IF($K18&gt;60,$K18-1,$K18))))=$AP$5),($J18*$C18),0)</f>
        <v>0</v>
      </c>
      <c r="AQ18" s="772">
        <f>IF(AND(MONTH((DATE(1899,12,31)+(0*7+IF($K18&gt;60,$K18-1,$K18))))=$AQ$8,YEAR((DATE(1899,12,31)+(0*7+IF($K18&gt;60,$K18-1,$K18))))=$AQ$5),($J18*$C18),0)</f>
        <v>0</v>
      </c>
      <c r="AR18" s="772">
        <f>IF(AND(MONTH((DATE(1899,12,31)+(0*7+IF($K18&gt;60,$K18-1,$K18))))=$AR$8,YEAR((DATE(1899,12,31)+(0*7+IF($K18&gt;60,$K18-1,$K18))))=$AR$5),($J18*$C18),0)</f>
        <v>0</v>
      </c>
      <c r="AS18" s="772">
        <f>IF(AND(MONTH((DATE(1899,12,31)+(0*7+IF($K18&gt;60,$K18-1,$K18))))=$AS$8,YEAR((DATE(1899,12,31)+(0*7+IF($K18&gt;60,$K18-1,$K18))))=$AS$5),($J18*$C18),0)</f>
        <v>0</v>
      </c>
      <c r="AT18" s="772">
        <f>IF(AND(MONTH((DATE(1899,12,31)+(0*7+IF($K18&gt;60,$K18-1,$K18))))=$AT$8,YEAR((DATE(1899,12,31)+(0*7+IF($K18&gt;60,$K18-1,$K18))))=$AT$5),($J18*$C18),0)</f>
        <v>0</v>
      </c>
      <c r="AU18" s="772">
        <f>IF(AND(MONTH((DATE(1899,12,31)+(0*7+IF($K18&gt;60,$K18-1,$K18))))=$AU$8,YEAR((DATE(1899,12,31)+(0*7+IF($K18&gt;60,$K18-1,$K18))))=$AU$5),($J18*$C18),0)</f>
        <v>0</v>
      </c>
      <c r="AV18" s="772">
        <f>IF(AND(MONTH((DATE(1899,12,31)+(0*7+IF($K18&gt;60,$K18-1,$K18))))=$AV$8,YEAR((DATE(1899,12,31)+(0*7+IF($K18&gt;60,$K18-1,$K18))))=$AV$5),($J18*$C18),0)</f>
        <v>0</v>
      </c>
      <c r="AW18" s="772">
        <f>IF(AND(MONTH((DATE(1899,12,31)+(0*7+IF($K18&gt;60,$K18-1,$K18))))=$AW$8,YEAR((DATE(1899,12,31)+(0*7+IF($K18&gt;60,$K18-1,$K18))))=$AW$5),($J18*$C18),0)</f>
        <v>0</v>
      </c>
      <c r="AX18" s="772">
        <f>IF(AND(MONTH((DATE(1899,12,31)+(0*7+IF($K18&gt;60,$K18-1,$K18))))=$AX$8,YEAR((DATE(1899,12,31)+(0*7+IF($K18&gt;60,$K18-1,$K18))))=$AX$5),($J18*$C18),0)</f>
        <v>0</v>
      </c>
      <c r="AY18" s="772">
        <f>IF(AND(MONTH((DATE(1899,12,31)+(0*7+IF($K18&gt;60,$K18-1,$K18))))=$AY$8,YEAR((DATE(1899,12,31)+(0*7+IF($K18&gt;60,$K18-1,$K18))))=$AY$5),($J18*$C18),0)</f>
        <v>0</v>
      </c>
      <c r="AZ18" s="772">
        <f>IF(AND(MONTH((DATE(1899,12,31)+(0*7+IF($K18&gt;60,$K18-1,$K18))))=$AZ$8,YEAR((DATE(1899,12,31)+(0*7+IF($K18&gt;60,$K18-1,$K18))))=$AZ$5),($J18*$C18),0)</f>
        <v>0</v>
      </c>
      <c r="BA18" s="772">
        <f>IF(AND(MONTH((DATE(1899,12,31)+(0*7+IF($K18&gt;60,$K18-1,$K18))))=$BA$8,YEAR((DATE(1899,12,31)+(0*7+IF($K18&gt;60,$K18-1,$K18))))=$BA$5),($J18*$C18),0)</f>
        <v>0</v>
      </c>
      <c r="BB18" s="772">
        <f>IF(AND(MONTH((DATE(1899,12,31)+(0*7+IF($K18&gt;60,$K18-1,$K18))))=$BB$8,YEAR((DATE(1899,12,31)+(0*7+IF($K18&gt;60,$K18-1,$K18))))=$BB$5),($J18*$C18),0)</f>
        <v>0</v>
      </c>
      <c r="BC18" s="772">
        <f>IF(AND(MONTH((DATE(1899,12,31)+(0*7+IF($K18&gt;60,$K18-1,$K18))))=$BC$8,YEAR((DATE(1899,12,31)+(0*7+IF($K18&gt;60,$K18-1,$K18))))=$BC$5),($J18*$C18),0)</f>
        <v>0</v>
      </c>
      <c r="BD18" s="772">
        <f>IF(AND(MONTH((DATE(1899,12,31)+(0*7+IF($K18&gt;60,$K18-1,$K18))))=$BD$8,YEAR((DATE(1899,12,31)+(0*7+IF($K18&gt;60,$K18-1,$K18))))=$BD$5),($J18*$C18),0)</f>
        <v>0</v>
      </c>
      <c r="BE18" s="772">
        <f>IF(AND(MONTH((DATE(1899,12,31)+(0*7+IF($K18&gt;60,$K18-1,$K18))))=$BE$8,YEAR((DATE(1899,12,31)+(0*7+IF($K18&gt;60,$K18-1,$K18))))=$BE$5),($J18*$C18),0)</f>
        <v>0</v>
      </c>
      <c r="BF18" s="772">
        <f>IF(AND(MONTH((DATE(1899,12,31)+(0*7+IF($K18&gt;60,$K18-1,$K18))))=$BF$8,YEAR((DATE(1899,12,31)+(0*7+IF($K18&gt;60,$K18-1,$K18))))=$BF$5),($J18*$C18),0)</f>
        <v>0</v>
      </c>
      <c r="BG18" s="772">
        <f>IF(AND(MONTH((DATE(1899,12,31)+(0*7+IF($K18&gt;60,$K18-1,$K18))))=$BG$8,YEAR((DATE(1899,12,31)+(0*7+IF($K18&gt;60,$K18-1,$K18))))=$BG$5),($J18*$C18),0)</f>
        <v>0</v>
      </c>
      <c r="BH18" s="772">
        <f>IF(AND(MONTH((DATE(1899,12,31)+(0*7+IF($K18&gt;60,$K18-1,$K18))))=$BH$8,YEAR((DATE(1899,12,31)+(0*7+IF($K18&gt;60,$K18-1,$K18))))=$BH$5),($J18*$C18),0)</f>
        <v>0</v>
      </c>
      <c r="BI18" s="772">
        <f>IF(AND(MONTH((DATE(1899,12,31)+(0*7+IF($K18&gt;60,$K18-1,$K18))))=$BI$8,YEAR((DATE(1899,12,31)+(0*7+IF($K18&gt;60,$K18-1,$K18))))=$BI$5),($J18*$C18),0)</f>
        <v>0</v>
      </c>
      <c r="BJ18" s="772">
        <f>IF(AND(MONTH((DATE(1899,12,31)+(0*7+IF($K18&gt;60,$K18-1,$K18))))=$BJ$8,YEAR((DATE(1899,12,31)+(0*7+IF($K18&gt;60,$K18-1,$K18))))=$BJ$5),($J18*$C18),0)</f>
        <v>0</v>
      </c>
      <c r="BK18" s="772">
        <f>IF(AND(MONTH((DATE(1899,12,31)+(0*7+IF($K18&gt;60,$K18-1,$K18))))=$BK$8,YEAR((DATE(1899,12,31)+(0*7+IF($K18&gt;60,$K18-1,$K18))))=$BK$5),($J18*$C18),0)</f>
        <v>0</v>
      </c>
      <c r="BL18" s="772">
        <f>IF(AND(MONTH((DATE(1899,12,31)+(0*7+IF($K18&gt;60,$K18-1,$K18))))=$BL$8,YEAR((DATE(1899,12,31)+(0*7+IF($K18&gt;60,$K18-1,$K18))))=$BL$5),($J18*$C18),0)</f>
        <v>0</v>
      </c>
      <c r="BM18" s="772">
        <f>IF(AND(MONTH((DATE(1899,12,31)+(0*7+IF($K18&gt;60,$K18-1,$K18))))=$BM$8,YEAR((DATE(1899,12,31)+(0*7+IF($K18&gt;60,$K18-1,$K18))))=$BM$5),($J18*$C18),0)</f>
        <v>0</v>
      </c>
      <c r="BN18" s="772">
        <f>IF(AND(MONTH((DATE(1899,12,31)+(0*7+IF($K18&gt;60,$K18-1,$K18))))=$BN$8,YEAR((DATE(1899,12,31)+(0*7+IF($K18&gt;60,$K18-1,$K18))))=$BN$5),($J18*$C18),0)</f>
        <v>0</v>
      </c>
      <c r="BO18" s="772">
        <f>IF(AND(MONTH((DATE(1899,12,31)+(0*7+IF($K18&gt;60,$K18-1,$K18))))=$BO$8,YEAR((DATE(1899,12,31)+(0*7+IF($K18&gt;60,$K18-1,$K18))))=$BO$5),($J18*$C18),0)</f>
        <v>0</v>
      </c>
      <c r="BP18" s="772">
        <f>IF(AND(MONTH((DATE(1899,12,31)+(0*7+IF($K18&gt;60,$K18-1,$K18))))=$BP$8,YEAR((DATE(1899,12,31)+(0*7+IF($K18&gt;60,$K18-1,$K18))))=$BP$5),($J18*$C18),0)</f>
        <v>0</v>
      </c>
    </row>
    <row r="19" s="58" customFormat="1" ht="18" customHeight="1">
      <c r="B19" s="539"/>
      <c r="C19" s="539"/>
      <c r="D19" t="s" s="540">
        <f>LEFT(B19,1)</f>
      </c>
      <c r="E19" s="540">
        <f>IF(C19="",0,(IF(LEN(B19)=5,MID(B19,3,1),MID(B19,3,2))))</f>
        <v>0</v>
      </c>
      <c r="F19" s="540">
        <f>IF(Z19="H","House",IF(Z19="B","Bungalow",IF(Z19="F","Flat",IF(Z19="S","Shared",IF(Z19="T","Bedsit",IF(Z19="A","Wheelchair Flat",IF(Z19="W","Wheelchair",0)))))))</f>
        <v>0</v>
      </c>
      <c r="G19" s="539"/>
      <c r="H19" s="541"/>
      <c r="I19" s="773">
        <f>I18</f>
        <v>0.5</v>
      </c>
      <c r="J19" s="774">
        <f>H19*I19</f>
        <v>0</v>
      </c>
      <c r="K19" s="775"/>
      <c r="R19" s="759">
        <f>IF(C19=0,0,(C19*G19)/$G$21*$R$21)</f>
        <v>0</v>
      </c>
      <c r="S19" s="532">
        <f>R19*I19</f>
        <v>0</v>
      </c>
      <c r="X19" s="532"/>
      <c r="Y19" s="108"/>
      <c r="Z19" t="s" s="62">
        <f>RIGHT(B19,1)</f>
      </c>
      <c r="AC19" t="s" s="90">
        <v>779</v>
      </c>
      <c r="AG19" s="772">
        <f>IF(AND(MONTH((DATE(1899,12,31)+(0*7+IF($K19&gt;60,$K19-1,$K19))))=$AG$8,YEAR((DATE(1899,12,31)+(0*7+IF($K19&gt;60,$K19-1,$K19))))=$AG$5),($J19*$C19),0)</f>
        <v>0</v>
      </c>
      <c r="AH19" s="772">
        <f>IF(AND(MONTH((DATE(1899,12,31)+(0*7+IF($K19&gt;60,$K19-1,$K19))))=$AH$8,YEAR((DATE(1899,12,31)+(0*7+IF($K19&gt;60,$K19-1,$K19))))=$AH$5),($J19*$C19),0)</f>
        <v>0</v>
      </c>
      <c r="AI19" s="772">
        <f>IF(AND(MONTH((DATE(1899,12,31)+(0*7+IF($K19&gt;60,$K19-1,$K19))))=$AI$8,YEAR((DATE(1899,12,31)+(0*7+IF($K19&gt;60,$K19-1,$K19))))=$AI$5),($J19*$C19),0)</f>
        <v>0</v>
      </c>
      <c r="AJ19" s="772">
        <f>IF(AND(MONTH((DATE(1899,12,31)+(0*7+IF($K19&gt;60,$K19-1,$K19))))=$AJ$8,YEAR((DATE(1899,12,31)+(0*7+IF($K19&gt;60,$K19-1,$K19))))=$AJ$5),($J19*$C19),0)</f>
        <v>0</v>
      </c>
      <c r="AK19" s="772">
        <f>IF(AND(MONTH((DATE(1899,12,31)+(0*7+IF($K19&gt;60,$K19-1,$K19))))=$AK$8,YEAR((DATE(1899,12,31)+(0*7+IF($K19&gt;60,$K19-1,$K19))))=$AK$5),($J19*$C19),0)</f>
        <v>0</v>
      </c>
      <c r="AL19" s="772">
        <f>IF(AND(MONTH((DATE(1899,12,31)+(0*7+IF($K19&gt;60,$K19-1,$K19))))=$AL$8,YEAR((DATE(1899,12,31)+(0*7+IF($K19&gt;60,$K19-1,$K19))))=$AL$5),($J19*$C19),0)</f>
        <v>0</v>
      </c>
      <c r="AM19" s="772">
        <f>IF(AND(MONTH((DATE(1899,12,31)+(0*7+IF($K19&gt;60,$K19-1,$K19))))=$AM$8,YEAR((DATE(1899,12,31)+(0*7+IF($K19&gt;60,$K19-1,$K19))))=$AM$5),($J19*$C19),0)</f>
        <v>0</v>
      </c>
      <c r="AN19" s="772">
        <f>IF(AND(MONTH((DATE(1899,12,31)+(0*7+IF($K19&gt;60,$K19-1,$K19))))=$AN$8,YEAR((DATE(1899,12,31)+(0*7+IF($K19&gt;60,$K19-1,$K19))))=$AN$5),($J19*$C19),0)</f>
        <v>0</v>
      </c>
      <c r="AO19" s="772">
        <f>IF(AND(MONTH((DATE(1899,12,31)+(0*7+IF($K19&gt;60,$K19-1,$K19))))=$AO$8,YEAR((DATE(1899,12,31)+(0*7+IF($K19&gt;60,$K19-1,$K19))))=$AO$5),($J19*$C19),0)</f>
        <v>0</v>
      </c>
      <c r="AP19" s="772">
        <f>IF(AND(MONTH((DATE(1899,12,31)+(0*7+IF($K19&gt;60,$K19-1,$K19))))=$AP$8,YEAR((DATE(1899,12,31)+(0*7+IF($K19&gt;60,$K19-1,$K19))))=$AP$5),($J19*$C19),0)</f>
        <v>0</v>
      </c>
      <c r="AQ19" s="772">
        <f>IF(AND(MONTH((DATE(1899,12,31)+(0*7+IF($K19&gt;60,$K19-1,$K19))))=$AQ$8,YEAR((DATE(1899,12,31)+(0*7+IF($K19&gt;60,$K19-1,$K19))))=$AQ$5),($J19*$C19),0)</f>
        <v>0</v>
      </c>
      <c r="AR19" s="772">
        <f>IF(AND(MONTH((DATE(1899,12,31)+(0*7+IF($K19&gt;60,$K19-1,$K19))))=$AR$8,YEAR((DATE(1899,12,31)+(0*7+IF($K19&gt;60,$K19-1,$K19))))=$AR$5),($J19*$C19),0)</f>
        <v>0</v>
      </c>
      <c r="AS19" s="772">
        <f>IF(AND(MONTH((DATE(1899,12,31)+(0*7+IF($K19&gt;60,$K19-1,$K19))))=$AS$8,YEAR((DATE(1899,12,31)+(0*7+IF($K19&gt;60,$K19-1,$K19))))=$AS$5),($J19*$C19),0)</f>
        <v>0</v>
      </c>
      <c r="AT19" s="772">
        <f>IF(AND(MONTH((DATE(1899,12,31)+(0*7+IF($K19&gt;60,$K19-1,$K19))))=$AT$8,YEAR((DATE(1899,12,31)+(0*7+IF($K19&gt;60,$K19-1,$K19))))=$AT$5),($J19*$C19),0)</f>
        <v>0</v>
      </c>
      <c r="AU19" s="772">
        <f>IF(AND(MONTH((DATE(1899,12,31)+(0*7+IF($K19&gt;60,$K19-1,$K19))))=$AU$8,YEAR((DATE(1899,12,31)+(0*7+IF($K19&gt;60,$K19-1,$K19))))=$AU$5),($J19*$C19),0)</f>
        <v>0</v>
      </c>
      <c r="AV19" s="772">
        <f>IF(AND(MONTH((DATE(1899,12,31)+(0*7+IF($K19&gt;60,$K19-1,$K19))))=$AV$8,YEAR((DATE(1899,12,31)+(0*7+IF($K19&gt;60,$K19-1,$K19))))=$AV$5),($J19*$C19),0)</f>
        <v>0</v>
      </c>
      <c r="AW19" s="772">
        <f>IF(AND(MONTH((DATE(1899,12,31)+(0*7+IF($K19&gt;60,$K19-1,$K19))))=$AW$8,YEAR((DATE(1899,12,31)+(0*7+IF($K19&gt;60,$K19-1,$K19))))=$AW$5),($J19*$C19),0)</f>
        <v>0</v>
      </c>
      <c r="AX19" s="772">
        <f>IF(AND(MONTH((DATE(1899,12,31)+(0*7+IF($K19&gt;60,$K19-1,$K19))))=$AX$8,YEAR((DATE(1899,12,31)+(0*7+IF($K19&gt;60,$K19-1,$K19))))=$AX$5),($J19*$C19),0)</f>
        <v>0</v>
      </c>
      <c r="AY19" s="772">
        <f>IF(AND(MONTH((DATE(1899,12,31)+(0*7+IF($K19&gt;60,$K19-1,$K19))))=$AY$8,YEAR((DATE(1899,12,31)+(0*7+IF($K19&gt;60,$K19-1,$K19))))=$AY$5),($J19*$C19),0)</f>
        <v>0</v>
      </c>
      <c r="AZ19" s="772">
        <f>IF(AND(MONTH((DATE(1899,12,31)+(0*7+IF($K19&gt;60,$K19-1,$K19))))=$AZ$8,YEAR((DATE(1899,12,31)+(0*7+IF($K19&gt;60,$K19-1,$K19))))=$AZ$5),($J19*$C19),0)</f>
        <v>0</v>
      </c>
      <c r="BA19" s="772">
        <f>IF(AND(MONTH((DATE(1899,12,31)+(0*7+IF($K19&gt;60,$K19-1,$K19))))=$BA$8,YEAR((DATE(1899,12,31)+(0*7+IF($K19&gt;60,$K19-1,$K19))))=$BA$5),($J19*$C19),0)</f>
        <v>0</v>
      </c>
      <c r="BB19" s="772">
        <f>IF(AND(MONTH((DATE(1899,12,31)+(0*7+IF($K19&gt;60,$K19-1,$K19))))=$BB$8,YEAR((DATE(1899,12,31)+(0*7+IF($K19&gt;60,$K19-1,$K19))))=$BB$5),($J19*$C19),0)</f>
        <v>0</v>
      </c>
      <c r="BC19" s="772">
        <f>IF(AND(MONTH((DATE(1899,12,31)+(0*7+IF($K19&gt;60,$K19-1,$K19))))=$BC$8,YEAR((DATE(1899,12,31)+(0*7+IF($K19&gt;60,$K19-1,$K19))))=$BC$5),($J19*$C19),0)</f>
        <v>0</v>
      </c>
      <c r="BD19" s="772">
        <f>IF(AND(MONTH((DATE(1899,12,31)+(0*7+IF($K19&gt;60,$K19-1,$K19))))=$BD$8,YEAR((DATE(1899,12,31)+(0*7+IF($K19&gt;60,$K19-1,$K19))))=$BD$5),($J19*$C19),0)</f>
        <v>0</v>
      </c>
      <c r="BE19" s="772">
        <f>IF(AND(MONTH((DATE(1899,12,31)+(0*7+IF($K19&gt;60,$K19-1,$K19))))=$BE$8,YEAR((DATE(1899,12,31)+(0*7+IF($K19&gt;60,$K19-1,$K19))))=$BE$5),($J19*$C19),0)</f>
        <v>0</v>
      </c>
      <c r="BF19" s="772">
        <f>IF(AND(MONTH((DATE(1899,12,31)+(0*7+IF($K19&gt;60,$K19-1,$K19))))=$BF$8,YEAR((DATE(1899,12,31)+(0*7+IF($K19&gt;60,$K19-1,$K19))))=$BF$5),($J19*$C19),0)</f>
        <v>0</v>
      </c>
      <c r="BG19" s="772">
        <f>IF(AND(MONTH((DATE(1899,12,31)+(0*7+IF($K19&gt;60,$K19-1,$K19))))=$BG$8,YEAR((DATE(1899,12,31)+(0*7+IF($K19&gt;60,$K19-1,$K19))))=$BG$5),($J19*$C19),0)</f>
        <v>0</v>
      </c>
      <c r="BH19" s="772">
        <f>IF(AND(MONTH((DATE(1899,12,31)+(0*7+IF($K19&gt;60,$K19-1,$K19))))=$BH$8,YEAR((DATE(1899,12,31)+(0*7+IF($K19&gt;60,$K19-1,$K19))))=$BH$5),($J19*$C19),0)</f>
        <v>0</v>
      </c>
      <c r="BI19" s="772">
        <f>IF(AND(MONTH((DATE(1899,12,31)+(0*7+IF($K19&gt;60,$K19-1,$K19))))=$BI$8,YEAR((DATE(1899,12,31)+(0*7+IF($K19&gt;60,$K19-1,$K19))))=$BI$5),($J19*$C19),0)</f>
        <v>0</v>
      </c>
      <c r="BJ19" s="772">
        <f>IF(AND(MONTH((DATE(1899,12,31)+(0*7+IF($K19&gt;60,$K19-1,$K19))))=$BJ$8,YEAR((DATE(1899,12,31)+(0*7+IF($K19&gt;60,$K19-1,$K19))))=$BJ$5),($J19*$C19),0)</f>
        <v>0</v>
      </c>
      <c r="BK19" s="772">
        <f>IF(AND(MONTH((DATE(1899,12,31)+(0*7+IF($K19&gt;60,$K19-1,$K19))))=$BK$8,YEAR((DATE(1899,12,31)+(0*7+IF($K19&gt;60,$K19-1,$K19))))=$BK$5),($J19*$C19),0)</f>
        <v>0</v>
      </c>
      <c r="BL19" s="772">
        <f>IF(AND(MONTH((DATE(1899,12,31)+(0*7+IF($K19&gt;60,$K19-1,$K19))))=$BL$8,YEAR((DATE(1899,12,31)+(0*7+IF($K19&gt;60,$K19-1,$K19))))=$BL$5),($J19*$C19),0)</f>
        <v>0</v>
      </c>
      <c r="BM19" s="772">
        <f>IF(AND(MONTH((DATE(1899,12,31)+(0*7+IF($K19&gt;60,$K19-1,$K19))))=$BM$8,YEAR((DATE(1899,12,31)+(0*7+IF($K19&gt;60,$K19-1,$K19))))=$BM$5),($J19*$C19),0)</f>
        <v>0</v>
      </c>
      <c r="BN19" s="772">
        <f>IF(AND(MONTH((DATE(1899,12,31)+(0*7+IF($K19&gt;60,$K19-1,$K19))))=$BN$8,YEAR((DATE(1899,12,31)+(0*7+IF($K19&gt;60,$K19-1,$K19))))=$BN$5),($J19*$C19),0)</f>
        <v>0</v>
      </c>
      <c r="BO19" s="772">
        <f>IF(AND(MONTH((DATE(1899,12,31)+(0*7+IF($K19&gt;60,$K19-1,$K19))))=$BO$8,YEAR((DATE(1899,12,31)+(0*7+IF($K19&gt;60,$K19-1,$K19))))=$BO$5),($J19*$C19),0)</f>
        <v>0</v>
      </c>
      <c r="BP19" s="772">
        <f>IF(AND(MONTH((DATE(1899,12,31)+(0*7+IF($K19&gt;60,$K19-1,$K19))))=$BP$8,YEAR((DATE(1899,12,31)+(0*7+IF($K19&gt;60,$K19-1,$K19))))=$BP$5),($J19*$C19),0)</f>
        <v>0</v>
      </c>
    </row>
    <row r="20" s="58" customFormat="1" ht="18" customHeight="1">
      <c r="B20" s="539"/>
      <c r="C20" s="560"/>
      <c r="D20" t="s" s="540">
        <f>LEFT(B20,1)</f>
      </c>
      <c r="E20" s="561">
        <f>IF(C20="",0,(IF(LEN(B20)=5,MID(B20,3,1),MID(B20,3,2))))</f>
        <v>0</v>
      </c>
      <c r="F20" s="540">
        <f>IF(Z20="H","House",IF(Z20="B","Bungalow",IF(Z20="F","Flat",IF(Z20="S","Shared",IF(Z20="T","Bedsit",IF(Z20="A","Wheelchair Flat",IF(Z20="W","Wheelchair",0)))))))</f>
        <v>0</v>
      </c>
      <c r="G20" s="560"/>
      <c r="H20" s="562"/>
      <c r="I20" s="777">
        <f>I19</f>
        <v>0.5</v>
      </c>
      <c r="J20" s="778">
        <f>H20*I20</f>
        <v>0</v>
      </c>
      <c r="K20" s="779"/>
      <c r="R20" s="759">
        <f>IF(C20=0,0,(C20*G20)/$G$21*$R$21)</f>
        <v>0</v>
      </c>
      <c r="S20" s="532">
        <f>R20*I20</f>
        <v>0</v>
      </c>
      <c r="X20" s="532"/>
      <c r="Y20" s="108"/>
      <c r="Z20" t="s" s="62">
        <f>RIGHT(B20,1)</f>
      </c>
      <c r="AC20" t="s" s="90">
        <v>783</v>
      </c>
      <c r="AG20" s="772">
        <f>IF(AND(MONTH((DATE(1899,12,31)+(0*7+IF($K20&gt;60,$K20-1,$K20))))=$AG$8,YEAR((DATE(1899,12,31)+(0*7+IF($K20&gt;60,$K20-1,$K20))))=$AG$5),($J20*$C20),0)</f>
        <v>0</v>
      </c>
      <c r="AH20" s="772">
        <f>IF(AND(MONTH((DATE(1899,12,31)+(0*7+IF($K20&gt;60,$K20-1,$K20))))=$AH$8,YEAR((DATE(1899,12,31)+(0*7+IF($K20&gt;60,$K20-1,$K20))))=$AH$5),($J20*$C20),0)</f>
        <v>0</v>
      </c>
      <c r="AI20" s="772">
        <f>IF(AND(MONTH((DATE(1899,12,31)+(0*7+IF($K20&gt;60,$K20-1,$K20))))=$AI$8,YEAR((DATE(1899,12,31)+(0*7+IF($K20&gt;60,$K20-1,$K20))))=$AI$5),($J20*$C20),0)</f>
        <v>0</v>
      </c>
      <c r="AJ20" s="772">
        <f>IF(AND(MONTH((DATE(1899,12,31)+(0*7+IF($K20&gt;60,$K20-1,$K20))))=$AJ$8,YEAR((DATE(1899,12,31)+(0*7+IF($K20&gt;60,$K20-1,$K20))))=$AJ$5),($J20*$C20),0)</f>
        <v>0</v>
      </c>
      <c r="AK20" s="772">
        <f>IF(AND(MONTH((DATE(1899,12,31)+(0*7+IF($K20&gt;60,$K20-1,$K20))))=$AK$8,YEAR((DATE(1899,12,31)+(0*7+IF($K20&gt;60,$K20-1,$K20))))=$AK$5),($J20*$C20),0)</f>
        <v>0</v>
      </c>
      <c r="AL20" s="772">
        <f>IF(AND(MONTH((DATE(1899,12,31)+(0*7+IF($K20&gt;60,$K20-1,$K20))))=$AL$8,YEAR((DATE(1899,12,31)+(0*7+IF($K20&gt;60,$K20-1,$K20))))=$AL$5),($J20*$C20),0)</f>
        <v>0</v>
      </c>
      <c r="AM20" s="772">
        <f>IF(AND(MONTH((DATE(1899,12,31)+(0*7+IF($K20&gt;60,$K20-1,$K20))))=$AM$8,YEAR((DATE(1899,12,31)+(0*7+IF($K20&gt;60,$K20-1,$K20))))=$AM$5),($J20*$C20),0)</f>
        <v>0</v>
      </c>
      <c r="AN20" s="772">
        <f>IF(AND(MONTH((DATE(1899,12,31)+(0*7+IF($K20&gt;60,$K20-1,$K20))))=$AN$8,YEAR((DATE(1899,12,31)+(0*7+IF($K20&gt;60,$K20-1,$K20))))=$AN$5),($J20*$C20),0)</f>
        <v>0</v>
      </c>
      <c r="AO20" s="772">
        <f>IF(AND(MONTH((DATE(1899,12,31)+(0*7+IF($K20&gt;60,$K20-1,$K20))))=$AO$8,YEAR((DATE(1899,12,31)+(0*7+IF($K20&gt;60,$K20-1,$K20))))=$AO$5),($J20*$C20),0)</f>
        <v>0</v>
      </c>
      <c r="AP20" s="772">
        <f>IF(AND(MONTH((DATE(1899,12,31)+(0*7+IF($K20&gt;60,$K20-1,$K20))))=$AP$8,YEAR((DATE(1899,12,31)+(0*7+IF($K20&gt;60,$K20-1,$K20))))=$AP$5),($J20*$C20),0)</f>
        <v>0</v>
      </c>
      <c r="AQ20" s="772">
        <f>IF(AND(MONTH((DATE(1899,12,31)+(0*7+IF($K20&gt;60,$K20-1,$K20))))=$AQ$8,YEAR((DATE(1899,12,31)+(0*7+IF($K20&gt;60,$K20-1,$K20))))=$AQ$5),($J20*$C20),0)</f>
        <v>0</v>
      </c>
      <c r="AR20" s="772">
        <f>IF(AND(MONTH((DATE(1899,12,31)+(0*7+IF($K20&gt;60,$K20-1,$K20))))=$AR$8,YEAR((DATE(1899,12,31)+(0*7+IF($K20&gt;60,$K20-1,$K20))))=$AR$5),($J20*$C20),0)</f>
        <v>0</v>
      </c>
      <c r="AS20" s="772">
        <f>IF(AND(MONTH((DATE(1899,12,31)+(0*7+IF($K20&gt;60,$K20-1,$K20))))=$AS$8,YEAR((DATE(1899,12,31)+(0*7+IF($K20&gt;60,$K20-1,$K20))))=$AS$5),($J20*$C20),0)</f>
        <v>0</v>
      </c>
      <c r="AT20" s="772">
        <f>IF(AND(MONTH((DATE(1899,12,31)+(0*7+IF($K20&gt;60,$K20-1,$K20))))=$AT$8,YEAR((DATE(1899,12,31)+(0*7+IF($K20&gt;60,$K20-1,$K20))))=$AT$5),($J20*$C20),0)</f>
        <v>0</v>
      </c>
      <c r="AU20" s="772">
        <f>IF(AND(MONTH((DATE(1899,12,31)+(0*7+IF($K20&gt;60,$K20-1,$K20))))=$AU$8,YEAR((DATE(1899,12,31)+(0*7+IF($K20&gt;60,$K20-1,$K20))))=$AU$5),($J20*$C20),0)</f>
        <v>0</v>
      </c>
      <c r="AV20" s="772">
        <f>IF(AND(MONTH((DATE(1899,12,31)+(0*7+IF($K20&gt;60,$K20-1,$K20))))=$AV$8,YEAR((DATE(1899,12,31)+(0*7+IF($K20&gt;60,$K20-1,$K20))))=$AV$5),($J20*$C20),0)</f>
        <v>0</v>
      </c>
      <c r="AW20" s="772">
        <f>IF(AND(MONTH((DATE(1899,12,31)+(0*7+IF($K20&gt;60,$K20-1,$K20))))=$AW$8,YEAR((DATE(1899,12,31)+(0*7+IF($K20&gt;60,$K20-1,$K20))))=$AW$5),($J20*$C20),0)</f>
        <v>0</v>
      </c>
      <c r="AX20" s="772">
        <f>IF(AND(MONTH((DATE(1899,12,31)+(0*7+IF($K20&gt;60,$K20-1,$K20))))=$AX$8,YEAR((DATE(1899,12,31)+(0*7+IF($K20&gt;60,$K20-1,$K20))))=$AX$5),($J20*$C20),0)</f>
        <v>0</v>
      </c>
      <c r="AY20" s="772">
        <f>IF(AND(MONTH((DATE(1899,12,31)+(0*7+IF($K20&gt;60,$K20-1,$K20))))=$AY$8,YEAR((DATE(1899,12,31)+(0*7+IF($K20&gt;60,$K20-1,$K20))))=$AY$5),($J20*$C20),0)</f>
        <v>0</v>
      </c>
      <c r="AZ20" s="772">
        <f>IF(AND(MONTH((DATE(1899,12,31)+(0*7+IF($K20&gt;60,$K20-1,$K20))))=$AZ$8,YEAR((DATE(1899,12,31)+(0*7+IF($K20&gt;60,$K20-1,$K20))))=$AZ$5),($J20*$C20),0)</f>
        <v>0</v>
      </c>
      <c r="BA20" s="772">
        <f>IF(AND(MONTH((DATE(1899,12,31)+(0*7+IF($K20&gt;60,$K20-1,$K20))))=$BA$8,YEAR((DATE(1899,12,31)+(0*7+IF($K20&gt;60,$K20-1,$K20))))=$BA$5),($J20*$C20),0)</f>
        <v>0</v>
      </c>
      <c r="BB20" s="772">
        <f>IF(AND(MONTH((DATE(1899,12,31)+(0*7+IF($K20&gt;60,$K20-1,$K20))))=$BB$8,YEAR((DATE(1899,12,31)+(0*7+IF($K20&gt;60,$K20-1,$K20))))=$BB$5),($J20*$C20),0)</f>
        <v>0</v>
      </c>
      <c r="BC20" s="772">
        <f>IF(AND(MONTH((DATE(1899,12,31)+(0*7+IF($K20&gt;60,$K20-1,$K20))))=$BC$8,YEAR((DATE(1899,12,31)+(0*7+IF($K20&gt;60,$K20-1,$K20))))=$BC$5),($J20*$C20),0)</f>
        <v>0</v>
      </c>
      <c r="BD20" s="772">
        <f>IF(AND(MONTH((DATE(1899,12,31)+(0*7+IF($K20&gt;60,$K20-1,$K20))))=$BD$8,YEAR((DATE(1899,12,31)+(0*7+IF($K20&gt;60,$K20-1,$K20))))=$BD$5),($J20*$C20),0)</f>
        <v>0</v>
      </c>
      <c r="BE20" s="772">
        <f>IF(AND(MONTH((DATE(1899,12,31)+(0*7+IF($K20&gt;60,$K20-1,$K20))))=$BE$8,YEAR((DATE(1899,12,31)+(0*7+IF($K20&gt;60,$K20-1,$K20))))=$BE$5),($J20*$C20),0)</f>
        <v>0</v>
      </c>
      <c r="BF20" s="772">
        <f>IF(AND(MONTH((DATE(1899,12,31)+(0*7+IF($K20&gt;60,$K20-1,$K20))))=$BF$8,YEAR((DATE(1899,12,31)+(0*7+IF($K20&gt;60,$K20-1,$K20))))=$BF$5),($J20*$C20),0)</f>
        <v>0</v>
      </c>
      <c r="BG20" s="772">
        <f>IF(AND(MONTH((DATE(1899,12,31)+(0*7+IF($K20&gt;60,$K20-1,$K20))))=$BG$8,YEAR((DATE(1899,12,31)+(0*7+IF($K20&gt;60,$K20-1,$K20))))=$BG$5),($J20*$C20),0)</f>
        <v>0</v>
      </c>
      <c r="BH20" s="772">
        <f>IF(AND(MONTH((DATE(1899,12,31)+(0*7+IF($K20&gt;60,$K20-1,$K20))))=$BH$8,YEAR((DATE(1899,12,31)+(0*7+IF($K20&gt;60,$K20-1,$K20))))=$BH$5),($J20*$C20),0)</f>
        <v>0</v>
      </c>
      <c r="BI20" s="772">
        <f>IF(AND(MONTH((DATE(1899,12,31)+(0*7+IF($K20&gt;60,$K20-1,$K20))))=$BI$8,YEAR((DATE(1899,12,31)+(0*7+IF($K20&gt;60,$K20-1,$K20))))=$BI$5),($J20*$C20),0)</f>
        <v>0</v>
      </c>
      <c r="BJ20" s="772">
        <f>IF(AND(MONTH((DATE(1899,12,31)+(0*7+IF($K20&gt;60,$K20-1,$K20))))=$BJ$8,YEAR((DATE(1899,12,31)+(0*7+IF($K20&gt;60,$K20-1,$K20))))=$BJ$5),($J20*$C20),0)</f>
        <v>0</v>
      </c>
      <c r="BK20" s="772">
        <f>IF(AND(MONTH((DATE(1899,12,31)+(0*7+IF($K20&gt;60,$K20-1,$K20))))=$BK$8,YEAR((DATE(1899,12,31)+(0*7+IF($K20&gt;60,$K20-1,$K20))))=$BK$5),($J20*$C20),0)</f>
        <v>0</v>
      </c>
      <c r="BL20" s="772">
        <f>IF(AND(MONTH((DATE(1899,12,31)+(0*7+IF($K20&gt;60,$K20-1,$K20))))=$BL$8,YEAR((DATE(1899,12,31)+(0*7+IF($K20&gt;60,$K20-1,$K20))))=$BL$5),($J20*$C20),0)</f>
        <v>0</v>
      </c>
      <c r="BM20" s="772">
        <f>IF(AND(MONTH((DATE(1899,12,31)+(0*7+IF($K20&gt;60,$K20-1,$K20))))=$BM$8,YEAR((DATE(1899,12,31)+(0*7+IF($K20&gt;60,$K20-1,$K20))))=$BM$5),($J20*$C20),0)</f>
        <v>0</v>
      </c>
      <c r="BN20" s="772">
        <f>IF(AND(MONTH((DATE(1899,12,31)+(0*7+IF($K20&gt;60,$K20-1,$K20))))=$BN$8,YEAR((DATE(1899,12,31)+(0*7+IF($K20&gt;60,$K20-1,$K20))))=$BN$5),($J20*$C20),0)</f>
        <v>0</v>
      </c>
      <c r="BO20" s="772">
        <f>IF(AND(MONTH((DATE(1899,12,31)+(0*7+IF($K20&gt;60,$K20-1,$K20))))=$BO$8,YEAR((DATE(1899,12,31)+(0*7+IF($K20&gt;60,$K20-1,$K20))))=$BO$5),($J20*$C20),0)</f>
        <v>0</v>
      </c>
      <c r="BP20" s="772">
        <f>IF(AND(MONTH((DATE(1899,12,31)+(0*7+IF($K20&gt;60,$K20-1,$K20))))=$BP$8,YEAR((DATE(1899,12,31)+(0*7+IF($K20&gt;60,$K20-1,$K20))))=$BP$5),($J20*$C20),0)</f>
        <v>0</v>
      </c>
    </row>
    <row r="21" s="58" customFormat="1" ht="18.75" customHeight="1">
      <c r="B21" t="s" s="566">
        <v>785</v>
      </c>
      <c r="C21" s="567">
        <f>SUM(C11:C20)</f>
        <v>0</v>
      </c>
      <c r="D21" t="s" s="568">
        <v>786</v>
      </c>
      <c r="E21" s="567">
        <f>($C$11*E11)+($C$12*E12)+($C$13*E13)+($C$14*E14)+($C$15*E15)+($C$16*E16)+($C$17*E17)+($C$18*E18)+($C$19*E19)+($C$20*E20)</f>
        <v>0</v>
      </c>
      <c r="G21" s="569">
        <f>($C$11*G11)+($C$12*G12)+($C$13*G13)+($C$14*G14)+($C$15*G15)+($C$16*G16)+($C$17*G17)+($C$18*G18)+($C$19*G19)+($C$20*G20)</f>
        <v>0</v>
      </c>
      <c r="H21" s="569">
        <f>($C$11*H11)+($C$12*H12)+($C$13*H13)+($C$14*H14)+($C$15*H15)+($C$16*H16)+($C$17*H17)+($C$18*H18)+($C$19*H19)+($C$20*H20)</f>
        <v>0</v>
      </c>
      <c r="I21" s="784">
        <f>IF(C21=0,0,(($C$11*I11)+($C$12*I12)+($C$13*I13)+($C$14*I14)+($C$15*I15)+($C$16*I16)+($C$17*I17)+($C$18*I18)+($C$19*I19)+($C$20*I20))/C21)</f>
        <v>0</v>
      </c>
      <c r="J21" s="569">
        <f>($C$11*J11)+($C$12*J12)+($C$13*J13)+($C$14*J14)+($C$15*J15)+($C$16*J16)+($C$17*J17)+($C$18*J18)+($C$19*J19)+($C$20*J20)</f>
        <v>0</v>
      </c>
      <c r="K21" s="785"/>
      <c r="R21" s="759">
        <f>IF(C21=0,0,('Summary'!D13/'Summary'!D16*'Summary'!D34))</f>
        <v>0</v>
      </c>
      <c r="S21" s="532">
        <f>R21*I21</f>
        <v>0</v>
      </c>
      <c r="X21" s="532"/>
      <c r="Y21" s="108"/>
      <c r="AC21" t="s" s="90">
        <v>788</v>
      </c>
      <c r="AG21" s="772"/>
      <c r="AH21" s="772"/>
      <c r="AI21" s="772"/>
      <c r="AJ21" s="772"/>
      <c r="AK21" s="772"/>
      <c r="AL21" s="772"/>
      <c r="AM21" s="772"/>
      <c r="AN21" s="772"/>
      <c r="AO21" s="772"/>
      <c r="AP21" s="772"/>
      <c r="AQ21" s="772"/>
      <c r="AR21" s="772"/>
      <c r="AS21" s="772"/>
      <c r="AT21" s="772"/>
      <c r="AU21" s="772"/>
      <c r="AV21" s="772"/>
      <c r="AW21" s="772"/>
      <c r="AX21" s="772"/>
      <c r="AY21" s="772"/>
      <c r="AZ21" s="772"/>
      <c r="BA21" s="772"/>
      <c r="BB21" s="772"/>
      <c r="BC21" s="772"/>
      <c r="BD21" s="772"/>
      <c r="BE21" s="772"/>
      <c r="BF21" s="772"/>
      <c r="BG21" s="772"/>
      <c r="BH21" s="772"/>
      <c r="BI21" s="772"/>
      <c r="BJ21" s="772"/>
      <c r="BK21" s="772"/>
      <c r="BL21" s="772"/>
      <c r="BM21" s="772"/>
      <c r="BN21" s="772"/>
      <c r="BO21" s="772"/>
      <c r="BP21" s="772"/>
    </row>
    <row r="22" s="58" customFormat="1" ht="18" customHeight="1">
      <c r="X22" s="532"/>
      <c r="Y22" s="108"/>
      <c r="AC22" t="s" s="90">
        <v>792</v>
      </c>
      <c r="AG22" s="789">
        <f>SUM(AG11:AG20)</f>
        <v>0</v>
      </c>
      <c r="AH22" s="789">
        <f>SUM(AH11:AH20)</f>
        <v>0</v>
      </c>
      <c r="AI22" s="789">
        <f>SUM(AI11:AI20)</f>
        <v>0</v>
      </c>
      <c r="AJ22" s="789">
        <f>SUM(AJ11:AJ20)</f>
        <v>0</v>
      </c>
      <c r="AK22" s="789">
        <f>SUM(AK11:AK20)</f>
        <v>0</v>
      </c>
      <c r="AL22" s="789">
        <f>SUM(AL11:AL20)</f>
        <v>0</v>
      </c>
      <c r="AM22" s="789">
        <f>SUM(AM11:AM20)</f>
        <v>0</v>
      </c>
      <c r="AN22" s="789">
        <f>SUM(AN11:AN20)</f>
        <v>0</v>
      </c>
      <c r="AO22" s="789">
        <f>SUM(AO11:AO20)</f>
        <v>0</v>
      </c>
      <c r="AP22" s="789">
        <f>SUM(AP11:AP20)</f>
        <v>0</v>
      </c>
      <c r="AQ22" s="789">
        <f>SUM(AQ11:AQ20)</f>
        <v>0</v>
      </c>
      <c r="AR22" s="789">
        <f>SUM(AR11:AR20)</f>
        <v>0</v>
      </c>
      <c r="AS22" s="789">
        <f>SUM(AS11:AS20)</f>
        <v>0</v>
      </c>
      <c r="AT22" s="789">
        <f>SUM(AT11:AT20)</f>
        <v>0</v>
      </c>
      <c r="AU22" s="789">
        <f>SUM(AU11:AU20)</f>
        <v>0</v>
      </c>
      <c r="AV22" s="789">
        <f>SUM(AV11:AV20)</f>
        <v>0</v>
      </c>
      <c r="AW22" s="789">
        <f>SUM(AW11:AW20)</f>
        <v>0</v>
      </c>
      <c r="AX22" s="789">
        <f>SUM(AX11:AX20)</f>
        <v>0</v>
      </c>
      <c r="AY22" s="789">
        <f>SUM(AY11:AY20)</f>
        <v>0</v>
      </c>
      <c r="AZ22" s="789">
        <f>SUM(AZ11:AZ20)</f>
        <v>0</v>
      </c>
      <c r="BA22" s="789">
        <f>SUM(BA11:BA20)</f>
        <v>0</v>
      </c>
      <c r="BB22" s="789">
        <f>SUM(BB11:BB20)</f>
        <v>0</v>
      </c>
      <c r="BC22" s="789">
        <f>SUM(BC11:BC20)</f>
        <v>0</v>
      </c>
      <c r="BD22" s="789">
        <f>SUM(BD11:BD20)</f>
        <v>0</v>
      </c>
      <c r="BE22" s="789">
        <f>SUM(BE11:BE20)</f>
        <v>0</v>
      </c>
      <c r="BF22" s="789">
        <f>SUM(BF11:BF20)</f>
        <v>0</v>
      </c>
      <c r="BG22" s="789">
        <f>SUM(BG11:BG20)</f>
        <v>0</v>
      </c>
      <c r="BH22" s="789">
        <f>SUM(BH11:BH20)</f>
        <v>0</v>
      </c>
      <c r="BI22" s="789">
        <f>SUM(BI11:BI20)</f>
        <v>0</v>
      </c>
      <c r="BJ22" s="789">
        <f>SUM(BJ11:BJ20)</f>
        <v>0</v>
      </c>
      <c r="BK22" s="789">
        <f>SUM(BK11:BK20)</f>
        <v>0</v>
      </c>
      <c r="BL22" s="789">
        <f>SUM(BL11:BL20)</f>
        <v>0</v>
      </c>
      <c r="BM22" s="789">
        <f>SUM(BM11:BM20)</f>
        <v>0</v>
      </c>
      <c r="BN22" s="789">
        <f>SUM(BN11:BN20)</f>
        <v>0</v>
      </c>
      <c r="BO22" s="789">
        <f>SUM(BO11:BO20)</f>
        <v>0</v>
      </c>
      <c r="BP22" s="789">
        <f>SUM(BP11:BP20)</f>
        <v>0</v>
      </c>
    </row>
    <row r="23" s="58" customFormat="1" ht="18" customHeight="1" hidden="1">
      <c r="I23" s="489"/>
      <c r="X23" s="532"/>
      <c r="Y23" s="108"/>
      <c r="AC23" t="s" s="90">
        <v>794</v>
      </c>
      <c r="AG23" s="772"/>
      <c r="AH23" s="772"/>
      <c r="AI23" s="772"/>
      <c r="AJ23" s="772"/>
      <c r="AK23" s="772"/>
      <c r="AL23" s="772"/>
      <c r="AM23" s="772"/>
      <c r="AN23" s="772"/>
      <c r="AO23" s="772"/>
      <c r="AP23" s="772"/>
      <c r="AQ23" s="772"/>
      <c r="AR23" s="772"/>
      <c r="AS23" s="772"/>
      <c r="AT23" s="772"/>
      <c r="AU23" s="772"/>
      <c r="AV23" s="772"/>
      <c r="AW23" s="772"/>
      <c r="AX23" s="772"/>
      <c r="AY23" s="772"/>
      <c r="AZ23" s="772"/>
      <c r="BA23" s="772"/>
      <c r="BB23" s="772"/>
      <c r="BC23" s="772"/>
      <c r="BD23" s="772"/>
      <c r="BE23" s="772"/>
      <c r="BF23" s="772"/>
      <c r="BG23" s="772"/>
      <c r="BH23" s="772"/>
      <c r="BI23" s="772"/>
      <c r="BJ23" s="772"/>
      <c r="BK23" s="772"/>
      <c r="BL23" s="772"/>
      <c r="BM23" s="772"/>
      <c r="BN23" s="772"/>
      <c r="BO23" s="772"/>
      <c r="BP23" s="772"/>
    </row>
    <row r="24" s="58" customFormat="1" ht="18" customHeight="1" hidden="1">
      <c r="B24" s="557"/>
      <c r="F24" s="480"/>
      <c r="X24" s="532"/>
      <c r="Y24" s="108"/>
      <c r="AC24" t="s" s="90">
        <v>797</v>
      </c>
      <c r="AG24" s="772"/>
      <c r="AH24" s="772"/>
      <c r="AI24" s="772"/>
      <c r="AJ24" s="772"/>
      <c r="AK24" s="772"/>
      <c r="AL24" s="772"/>
      <c r="AM24" s="772"/>
      <c r="AN24" s="772"/>
      <c r="AO24" s="772"/>
      <c r="AP24" s="772"/>
      <c r="AQ24" s="772"/>
      <c r="AR24" s="772"/>
      <c r="AS24" s="772"/>
      <c r="AT24" s="772"/>
      <c r="AU24" s="772"/>
      <c r="AV24" s="772"/>
      <c r="AW24" s="772"/>
      <c r="AX24" s="772"/>
      <c r="AY24" s="772"/>
      <c r="AZ24" s="772"/>
      <c r="BA24" s="772"/>
      <c r="BB24" s="772"/>
      <c r="BC24" s="772"/>
      <c r="BD24" s="772"/>
      <c r="BE24" s="772"/>
      <c r="BF24" s="772"/>
      <c r="BG24" s="772"/>
      <c r="BH24" s="772"/>
      <c r="BI24" s="772"/>
      <c r="BJ24" s="772"/>
      <c r="BK24" s="772"/>
      <c r="BL24" s="772"/>
      <c r="BM24" s="772"/>
      <c r="BN24" s="772"/>
      <c r="BO24" s="772"/>
      <c r="BP24" s="772"/>
    </row>
    <row r="25" s="58" customFormat="1" ht="18" customHeight="1" hidden="1">
      <c r="B25" s="56"/>
      <c r="C25" s="56"/>
      <c r="X25" s="532"/>
      <c r="Y25" s="108"/>
      <c r="AC25" t="s" s="90">
        <v>800</v>
      </c>
      <c r="AG25" s="772"/>
      <c r="AH25" s="772"/>
      <c r="AI25" s="772"/>
      <c r="AJ25" s="772"/>
      <c r="AK25" s="772"/>
      <c r="AL25" s="772"/>
      <c r="AM25" s="772"/>
      <c r="AN25" s="772"/>
      <c r="AO25" s="772"/>
      <c r="AP25" s="772"/>
      <c r="AQ25" s="772"/>
      <c r="AR25" s="772"/>
      <c r="AS25" s="772"/>
      <c r="AT25" s="772"/>
      <c r="AU25" s="772"/>
      <c r="AV25" s="772"/>
      <c r="AW25" s="772"/>
      <c r="AX25" s="772"/>
      <c r="AY25" s="772"/>
      <c r="AZ25" s="772"/>
      <c r="BA25" s="772"/>
      <c r="BB25" s="772"/>
      <c r="BC25" s="772"/>
      <c r="BD25" s="772"/>
      <c r="BE25" s="772"/>
      <c r="BF25" s="772"/>
      <c r="BG25" s="772"/>
      <c r="BH25" s="772"/>
      <c r="BI25" s="772"/>
      <c r="BJ25" s="772"/>
      <c r="BK25" s="772"/>
      <c r="BL25" s="772"/>
      <c r="BM25" s="772"/>
      <c r="BN25" s="772"/>
      <c r="BO25" s="772"/>
      <c r="BP25" s="772"/>
    </row>
    <row r="26" s="58" customFormat="1" ht="18" customHeight="1" hidden="1">
      <c r="B26" s="56"/>
      <c r="C26" s="56"/>
      <c r="E26" s="600"/>
      <c r="G26" s="790"/>
      <c r="H26" s="790"/>
      <c r="I26" s="790"/>
      <c r="J26" s="790"/>
      <c r="X26" s="532"/>
      <c r="Y26" s="108"/>
      <c r="AC26" t="s" s="90">
        <v>802</v>
      </c>
      <c r="AG26" s="772"/>
      <c r="AH26" s="772"/>
      <c r="AI26" s="772"/>
      <c r="AJ26" s="772"/>
      <c r="AK26" s="772"/>
      <c r="AL26" s="772"/>
      <c r="AM26" s="772"/>
      <c r="AN26" s="772"/>
      <c r="AO26" s="772"/>
      <c r="AP26" s="772"/>
      <c r="AQ26" s="772"/>
      <c r="AR26" s="772"/>
      <c r="AS26" s="772"/>
      <c r="AT26" s="772"/>
      <c r="AU26" s="772"/>
      <c r="AV26" s="772"/>
      <c r="AW26" s="772"/>
      <c r="AX26" s="772"/>
      <c r="AY26" s="772"/>
      <c r="AZ26" s="772"/>
      <c r="BA26" s="772"/>
      <c r="BB26" s="772"/>
      <c r="BC26" s="772"/>
      <c r="BD26" s="772"/>
      <c r="BE26" s="772"/>
      <c r="BF26" s="772"/>
      <c r="BG26" s="772"/>
      <c r="BH26" s="772"/>
      <c r="BI26" s="772"/>
      <c r="BJ26" s="772"/>
      <c r="BK26" s="772"/>
      <c r="BL26" s="772"/>
      <c r="BM26" s="772"/>
      <c r="BN26" s="772"/>
      <c r="BO26" s="772"/>
      <c r="BP26" s="772"/>
    </row>
    <row r="27" s="58" customFormat="1" ht="18" customHeight="1" hidden="1">
      <c r="B27" s="580"/>
      <c r="C27" s="580"/>
      <c r="D27" s="56"/>
      <c r="E27" s="601"/>
      <c r="F27" s="791"/>
      <c r="G27" s="792"/>
      <c r="H27" s="790"/>
      <c r="I27" s="790"/>
      <c r="J27" s="790"/>
      <c r="X27" s="532"/>
      <c r="Y27" s="108"/>
      <c r="AC27" t="s" s="90">
        <v>805</v>
      </c>
      <c r="AG27" s="772"/>
      <c r="AH27" s="772"/>
      <c r="AI27" s="772"/>
      <c r="AJ27" s="772"/>
      <c r="AK27" s="772"/>
      <c r="AL27" s="772"/>
      <c r="AM27" s="772"/>
      <c r="AN27" s="772"/>
      <c r="AO27" s="772"/>
      <c r="AP27" s="772"/>
      <c r="AQ27" s="772"/>
      <c r="AR27" s="772"/>
      <c r="AS27" s="772"/>
      <c r="AT27" s="772"/>
      <c r="AU27" s="772"/>
      <c r="AV27" s="772"/>
      <c r="AW27" s="772"/>
      <c r="AX27" s="772"/>
      <c r="AY27" s="772"/>
      <c r="AZ27" s="772"/>
      <c r="BA27" s="772"/>
      <c r="BB27" s="772"/>
      <c r="BC27" s="772"/>
      <c r="BD27" s="772"/>
      <c r="BE27" s="772"/>
      <c r="BF27" s="772"/>
      <c r="BG27" s="772"/>
      <c r="BH27" s="772"/>
      <c r="BI27" s="772"/>
      <c r="BJ27" s="772"/>
      <c r="BK27" s="772"/>
      <c r="BL27" s="772"/>
      <c r="BM27" s="772"/>
      <c r="BN27" s="772"/>
      <c r="BO27" s="772"/>
      <c r="BP27" s="772"/>
    </row>
    <row r="28" s="58" customFormat="1" ht="18" customHeight="1" hidden="1">
      <c r="B28" s="583"/>
      <c r="C28" s="583"/>
      <c r="D28" s="56"/>
      <c r="E28" s="600"/>
      <c r="F28" s="793"/>
      <c r="G28" s="793"/>
      <c r="H28" s="790"/>
      <c r="I28" s="790"/>
      <c r="J28" s="790"/>
      <c r="X28" s="532"/>
      <c r="Y28" s="108"/>
      <c r="AC28" t="s" s="90">
        <v>808</v>
      </c>
      <c r="AG28" s="772"/>
      <c r="AH28" s="772"/>
      <c r="AI28" s="772"/>
      <c r="AJ28" s="772"/>
      <c r="AK28" s="772"/>
      <c r="AL28" s="772"/>
      <c r="AM28" s="772"/>
      <c r="AN28" s="772"/>
      <c r="AO28" s="772"/>
      <c r="AP28" s="772"/>
      <c r="AQ28" s="772"/>
      <c r="AR28" s="772"/>
      <c r="AS28" s="772"/>
      <c r="AT28" s="772"/>
      <c r="AU28" s="772"/>
      <c r="AV28" s="772"/>
      <c r="AW28" s="772"/>
      <c r="AX28" s="772"/>
      <c r="AY28" s="772"/>
      <c r="AZ28" s="772"/>
      <c r="BA28" s="772"/>
      <c r="BB28" s="772"/>
      <c r="BC28" s="772"/>
      <c r="BD28" s="772"/>
      <c r="BE28" s="772"/>
      <c r="BF28" s="772"/>
      <c r="BG28" s="772"/>
      <c r="BH28" s="772"/>
      <c r="BI28" s="772"/>
      <c r="BJ28" s="772"/>
      <c r="BK28" s="772"/>
      <c r="BL28" s="772"/>
      <c r="BM28" s="772"/>
      <c r="BN28" s="772"/>
      <c r="BO28" s="772"/>
      <c r="BP28" s="772"/>
    </row>
    <row r="29" s="58" customFormat="1" ht="18" customHeight="1" hidden="1">
      <c r="B29" s="583"/>
      <c r="C29" s="583"/>
      <c r="D29" s="56"/>
      <c r="E29" s="101"/>
      <c r="F29" s="101"/>
      <c r="G29" s="793"/>
      <c r="H29" s="793"/>
      <c r="I29" s="793"/>
      <c r="J29" s="793"/>
      <c r="X29" s="532"/>
      <c r="Y29" s="108"/>
      <c r="AC29" t="s" s="90">
        <v>812</v>
      </c>
      <c r="AG29" s="772"/>
      <c r="AH29" s="772"/>
      <c r="AI29" s="772"/>
      <c r="AJ29" s="772"/>
      <c r="AK29" s="772"/>
      <c r="AL29" s="772"/>
      <c r="AM29" s="772"/>
      <c r="AN29" s="772"/>
      <c r="AO29" s="772"/>
      <c r="AP29" s="772"/>
      <c r="AQ29" s="772"/>
      <c r="AR29" s="772"/>
      <c r="AS29" s="772"/>
      <c r="AT29" s="772"/>
      <c r="AU29" s="772"/>
      <c r="AV29" s="772"/>
      <c r="AW29" s="772"/>
      <c r="AX29" s="772"/>
      <c r="AY29" s="772"/>
      <c r="AZ29" s="772"/>
      <c r="BA29" s="772"/>
      <c r="BB29" s="772"/>
      <c r="BC29" s="772"/>
      <c r="BD29" s="772"/>
      <c r="BE29" s="772"/>
      <c r="BF29" s="772"/>
      <c r="BG29" s="772"/>
      <c r="BH29" s="772"/>
      <c r="BI29" s="772"/>
      <c r="BJ29" s="772"/>
      <c r="BK29" s="772"/>
      <c r="BL29" s="772"/>
      <c r="BM29" s="772"/>
      <c r="BN29" s="772"/>
      <c r="BO29" s="772"/>
      <c r="BP29" s="772"/>
    </row>
    <row r="30" s="58" customFormat="1" ht="18" customHeight="1" hidden="1">
      <c r="B30" s="56"/>
      <c r="C30" s="56"/>
      <c r="D30" s="56"/>
      <c r="E30" s="56"/>
      <c r="F30" s="56"/>
      <c r="G30" s="56"/>
      <c r="X30" s="532"/>
      <c r="Y30" s="108"/>
      <c r="AC30" t="s" s="90">
        <v>813</v>
      </c>
      <c r="AG30" s="772"/>
      <c r="AH30" s="772"/>
      <c r="AI30" s="772"/>
      <c r="AJ30" s="772"/>
      <c r="AK30" s="772"/>
      <c r="AL30" s="772"/>
      <c r="AM30" s="772"/>
      <c r="AN30" s="772"/>
      <c r="AO30" s="772"/>
      <c r="AP30" s="772"/>
      <c r="AQ30" s="772"/>
      <c r="AR30" s="772"/>
      <c r="AS30" s="772"/>
      <c r="AT30" s="772"/>
      <c r="AU30" s="772"/>
      <c r="AV30" s="772"/>
      <c r="AW30" s="772"/>
      <c r="AX30" s="772"/>
      <c r="AY30" s="772"/>
      <c r="AZ30" s="772"/>
      <c r="BA30" s="772"/>
      <c r="BB30" s="772"/>
      <c r="BC30" s="772"/>
      <c r="BD30" s="772"/>
      <c r="BE30" s="772"/>
      <c r="BF30" s="772"/>
      <c r="BG30" s="772"/>
      <c r="BH30" s="772"/>
      <c r="BI30" s="772"/>
      <c r="BJ30" s="772"/>
      <c r="BK30" s="772"/>
      <c r="BL30" s="772"/>
      <c r="BM30" s="772"/>
      <c r="BN30" s="772"/>
      <c r="BO30" s="772"/>
      <c r="BP30" s="772"/>
    </row>
    <row r="31" s="58" customFormat="1" ht="12.75" customHeight="1" hidden="1">
      <c r="B31" s="56"/>
      <c r="C31" s="56"/>
      <c r="D31" s="56"/>
      <c r="E31" s="56"/>
      <c r="F31" s="56"/>
      <c r="G31" s="56"/>
      <c r="AC31" t="s" s="90">
        <v>816</v>
      </c>
    </row>
    <row r="32" s="58" customFormat="1" ht="15" customHeight="1" hidden="1">
      <c r="B32" s="56"/>
      <c r="C32" s="56"/>
      <c r="D32" s="56"/>
      <c r="E32" s="56"/>
      <c r="F32" s="56"/>
      <c r="G32" s="56"/>
      <c r="AC32" t="s" s="90">
        <v>820</v>
      </c>
      <c r="AG32" s="772"/>
    </row>
    <row r="33" s="58" customFormat="1" ht="15" customHeight="1" hidden="1">
      <c r="B33" s="56"/>
      <c r="C33" s="56"/>
      <c r="D33" s="56"/>
      <c r="E33" s="56"/>
      <c r="F33" s="56"/>
      <c r="G33" s="56"/>
      <c r="AC33" t="s" s="90">
        <v>823</v>
      </c>
      <c r="AG33" s="772"/>
    </row>
    <row r="34" s="58" customFormat="1" ht="12.75" customHeight="1" hidden="1">
      <c r="B34" s="56"/>
      <c r="C34" s="56"/>
      <c r="D34" s="56"/>
      <c r="E34" s="256"/>
      <c r="F34" s="256"/>
      <c r="G34" s="56"/>
      <c r="AC34" t="s" s="90">
        <v>825</v>
      </c>
    </row>
    <row r="35" s="58" customFormat="1" ht="12.75" customHeight="1" hidden="1">
      <c r="B35" s="56"/>
      <c r="C35" s="56"/>
      <c r="D35" s="56"/>
      <c r="E35" s="56"/>
      <c r="F35" s="56"/>
      <c r="G35" s="56"/>
      <c r="H35" s="489"/>
      <c r="AC35" t="s" s="90">
        <v>830</v>
      </c>
    </row>
    <row r="36" s="58" customFormat="1" ht="12.75" customHeight="1" hidden="1">
      <c r="B36" s="56"/>
      <c r="C36" s="489"/>
      <c r="D36" s="56"/>
      <c r="E36" s="489"/>
      <c r="F36" s="489"/>
      <c r="G36" s="56"/>
      <c r="AC36" t="s" s="90">
        <v>831</v>
      </c>
    </row>
    <row r="37" s="58" customFormat="1" ht="12.75" customHeight="1" hidden="1">
      <c r="B37" s="56"/>
      <c r="C37" s="489"/>
      <c r="D37" s="56"/>
      <c r="E37" s="489"/>
      <c r="F37" s="489"/>
      <c r="G37" s="56"/>
      <c r="AC37" t="s" s="90">
        <v>834</v>
      </c>
    </row>
    <row r="38" s="58" customFormat="1" ht="12.75" customHeight="1" hidden="1">
      <c r="B38" s="56"/>
      <c r="C38" s="237"/>
      <c r="D38" s="237"/>
      <c r="E38" s="237"/>
      <c r="F38" s="237"/>
      <c r="G38" s="237"/>
      <c r="H38" s="237"/>
      <c r="I38" s="237"/>
      <c r="J38" s="237"/>
      <c r="K38" s="237"/>
      <c r="AC38" t="s" s="90">
        <v>837</v>
      </c>
    </row>
    <row r="39" s="58" customFormat="1" ht="12.75" customHeight="1" hidden="1">
      <c r="B39" s="56"/>
      <c r="C39" s="237"/>
      <c r="D39" s="237"/>
      <c r="E39" s="237"/>
      <c r="F39" s="237"/>
      <c r="G39" s="237"/>
      <c r="H39" s="237"/>
      <c r="I39" s="237"/>
      <c r="J39" s="237"/>
      <c r="K39" s="237"/>
      <c r="AC39" t="s" s="90">
        <v>839</v>
      </c>
    </row>
    <row r="40" s="58" customFormat="1" ht="12.75" customHeight="1" hidden="1">
      <c r="B40" s="56"/>
      <c r="C40" s="237"/>
      <c r="D40" s="237"/>
      <c r="E40" s="237"/>
      <c r="F40" s="237"/>
      <c r="G40" s="237"/>
      <c r="H40" s="237"/>
      <c r="I40" s="237"/>
      <c r="J40" s="237"/>
      <c r="K40" s="237"/>
      <c r="AC40" t="s" s="90">
        <v>841</v>
      </c>
    </row>
    <row r="41" s="58" customFormat="1" ht="12.75" customHeight="1" hidden="1">
      <c r="C41" s="56"/>
      <c r="D41" s="56"/>
      <c r="E41" s="56"/>
      <c r="F41" s="56"/>
      <c r="G41" s="817"/>
      <c r="H41" s="817"/>
      <c r="I41" s="817"/>
      <c r="J41" s="817"/>
      <c r="K41" s="817"/>
      <c r="AC41" t="s" s="90">
        <v>843</v>
      </c>
    </row>
    <row r="42" s="58" customFormat="1" ht="12.75" customHeight="1" hidden="1">
      <c r="C42" s="794"/>
      <c r="D42" s="794"/>
      <c r="E42" s="794"/>
      <c r="F42" s="794"/>
      <c r="G42" s="794"/>
      <c r="H42" s="794"/>
      <c r="I42" s="794"/>
      <c r="J42" s="794"/>
      <c r="K42" s="794"/>
      <c r="AC42" t="s" s="90">
        <v>844</v>
      </c>
    </row>
    <row r="43" s="58" customFormat="1" ht="12.75" customHeight="1" hidden="1">
      <c r="C43" s="794"/>
      <c r="D43" s="794"/>
      <c r="E43" s="794"/>
      <c r="F43" s="794"/>
      <c r="G43" s="794"/>
      <c r="H43" s="794"/>
      <c r="I43" s="794"/>
      <c r="J43" s="794"/>
      <c r="K43" s="794"/>
      <c r="AC43" t="s" s="90">
        <v>846</v>
      </c>
    </row>
    <row r="44" s="58" customFormat="1" ht="12.75" customHeight="1" hidden="1">
      <c r="C44" s="794"/>
      <c r="D44" s="794"/>
      <c r="E44" s="794"/>
      <c r="F44" s="794"/>
      <c r="G44" s="794"/>
      <c r="H44" s="794"/>
      <c r="I44" s="794"/>
      <c r="J44" s="794"/>
      <c r="K44" s="794"/>
      <c r="AC44" t="s" s="90">
        <v>847</v>
      </c>
    </row>
    <row r="45" s="58" customFormat="1" ht="12.75" customHeight="1" hidden="1">
      <c r="C45" s="794"/>
      <c r="D45" s="794"/>
      <c r="E45" s="794"/>
      <c r="F45" s="794"/>
      <c r="G45" s="794"/>
      <c r="H45" s="794"/>
      <c r="I45" s="794"/>
      <c r="J45" s="794"/>
      <c r="K45" s="794"/>
      <c r="AC45" t="s" s="90">
        <v>848</v>
      </c>
    </row>
    <row r="46" s="58" customFormat="1" ht="12.75" customHeight="1" hidden="1">
      <c r="C46" s="794"/>
      <c r="D46" s="794"/>
      <c r="E46" s="794"/>
      <c r="F46" s="794"/>
      <c r="G46" s="794"/>
      <c r="H46" s="794"/>
      <c r="I46" s="794"/>
      <c r="J46" s="794"/>
      <c r="K46" s="794"/>
      <c r="AC46" t="s" s="90">
        <v>850</v>
      </c>
    </row>
    <row r="47" s="58" customFormat="1" ht="12.75" customHeight="1" hidden="1">
      <c r="C47" s="794"/>
      <c r="D47" s="794"/>
      <c r="E47" s="794"/>
      <c r="F47" s="794"/>
      <c r="G47" s="794"/>
      <c r="H47" s="794"/>
      <c r="I47" s="794"/>
      <c r="J47" s="794"/>
      <c r="K47" s="794"/>
      <c r="AC47" t="s" s="90">
        <v>852</v>
      </c>
    </row>
    <row r="48" s="58" customFormat="1" ht="12.75" customHeight="1" hidden="1">
      <c r="C48" s="759"/>
      <c r="D48" s="759"/>
      <c r="E48" s="759"/>
      <c r="F48" s="759"/>
      <c r="G48" s="759"/>
      <c r="H48" s="759"/>
      <c r="I48" s="759"/>
      <c r="J48" s="759"/>
      <c r="K48" s="759"/>
      <c r="L48" s="237"/>
      <c r="M48" s="237"/>
      <c r="N48" s="237"/>
      <c r="O48" s="237"/>
      <c r="P48" s="237"/>
      <c r="Q48" s="237"/>
      <c r="R48" s="237"/>
      <c r="S48" s="237"/>
      <c r="T48" s="237"/>
      <c r="U48" s="237"/>
      <c r="V48" s="237"/>
      <c r="W48" s="237"/>
      <c r="X48" s="237"/>
      <c r="AC48" t="s" s="90">
        <v>853</v>
      </c>
    </row>
    <row r="49" s="58" customFormat="1" ht="12.75" customHeight="1" hidden="1">
      <c r="C49" s="794"/>
      <c r="D49" s="794"/>
      <c r="E49" s="794"/>
      <c r="F49" s="795"/>
      <c r="G49" s="794"/>
      <c r="H49" s="794"/>
      <c r="I49" s="794"/>
      <c r="J49" s="794"/>
      <c r="K49" s="794"/>
      <c r="L49" s="237"/>
      <c r="M49" s="237"/>
      <c r="N49" s="237"/>
      <c r="O49" s="237"/>
      <c r="P49" s="237"/>
      <c r="Q49" s="237"/>
      <c r="R49" s="237"/>
      <c r="S49" s="237"/>
      <c r="T49" s="237"/>
      <c r="U49" s="237"/>
      <c r="V49" s="237"/>
      <c r="W49" s="237"/>
      <c r="X49" s="237"/>
      <c r="AC49" t="s" s="90">
        <v>854</v>
      </c>
    </row>
    <row r="50" s="58" customFormat="1" ht="12.75" customHeight="1" hidden="1">
      <c r="C50" s="56"/>
      <c r="D50" s="56"/>
      <c r="E50" s="56"/>
      <c r="F50" s="56"/>
      <c r="G50" s="794"/>
      <c r="H50" s="794"/>
      <c r="I50" s="794"/>
      <c r="J50" s="794"/>
      <c r="K50" s="794"/>
      <c r="L50" s="237"/>
      <c r="M50" s="237"/>
      <c r="N50" s="237"/>
      <c r="O50" s="237"/>
      <c r="P50" s="237"/>
      <c r="Q50" s="237"/>
      <c r="R50" s="237"/>
      <c r="S50" s="237"/>
      <c r="T50" s="237"/>
      <c r="U50" s="237"/>
      <c r="V50" s="237"/>
      <c r="W50" s="237"/>
      <c r="X50" s="237"/>
      <c r="AC50" t="s" s="90">
        <v>855</v>
      </c>
    </row>
    <row r="51" s="58" customFormat="1" ht="12.75" customHeight="1" hidden="1">
      <c r="F51" s="620"/>
      <c r="G51" s="794"/>
      <c r="H51" s="794"/>
      <c r="I51" s="794"/>
      <c r="J51" s="794"/>
      <c r="K51" s="794"/>
      <c r="L51" s="817"/>
      <c r="M51" s="817"/>
      <c r="N51" s="817"/>
      <c r="O51" s="817"/>
      <c r="P51" s="817"/>
      <c r="Q51" s="817"/>
      <c r="R51" s="817"/>
      <c r="S51" s="817"/>
      <c r="T51" s="817"/>
      <c r="U51" s="817"/>
      <c r="V51" s="817"/>
      <c r="W51" s="817"/>
      <c r="X51" s="817"/>
      <c r="AC51" t="s" s="90">
        <v>857</v>
      </c>
    </row>
    <row r="52" s="58" customFormat="1" ht="12.75" customHeight="1" hidden="1">
      <c r="L52" s="794"/>
      <c r="M52" s="794"/>
      <c r="N52" s="794"/>
      <c r="O52" s="794"/>
      <c r="P52" s="794"/>
      <c r="Q52" s="794"/>
      <c r="R52" s="794"/>
      <c r="S52" s="794"/>
      <c r="T52" s="794"/>
      <c r="U52" s="794"/>
      <c r="V52" s="794"/>
      <c r="W52" s="794"/>
      <c r="X52" s="794"/>
      <c r="AC52" s="536"/>
    </row>
    <row r="53" s="58" customFormat="1" ht="12.75" customHeight="1" hidden="1">
      <c r="F53" s="620"/>
      <c r="G53" s="796"/>
      <c r="H53" s="796"/>
      <c r="I53" s="796"/>
      <c r="J53" s="796"/>
      <c r="K53" s="796"/>
      <c r="L53" s="794"/>
      <c r="M53" s="794"/>
      <c r="N53" s="794"/>
      <c r="O53" s="794"/>
      <c r="P53" s="794"/>
      <c r="Q53" s="794"/>
      <c r="R53" s="794"/>
      <c r="S53" s="794"/>
      <c r="T53" s="794"/>
      <c r="U53" s="794"/>
      <c r="V53" s="794"/>
      <c r="W53" s="794"/>
      <c r="X53" s="794"/>
      <c r="AC53" s="536"/>
    </row>
    <row r="54" s="58" customFormat="1" ht="12.75" customHeight="1" hidden="1">
      <c r="L54" s="794"/>
      <c r="M54" s="794"/>
      <c r="N54" s="794"/>
      <c r="O54" s="794"/>
      <c r="P54" s="794"/>
      <c r="Q54" s="794"/>
      <c r="R54" s="794"/>
      <c r="S54" s="794"/>
      <c r="T54" s="794"/>
      <c r="U54" s="794"/>
      <c r="V54" s="794"/>
      <c r="W54" s="794"/>
      <c r="X54" s="794"/>
      <c r="AC54" s="536"/>
    </row>
    <row r="55" s="58" customFormat="1" ht="12.75" customHeight="1" hidden="1">
      <c r="F55" s="620"/>
      <c r="G55" s="796"/>
      <c r="H55" s="796"/>
      <c r="I55" s="796"/>
      <c r="J55" s="796"/>
      <c r="K55" s="796"/>
      <c r="L55" s="794"/>
      <c r="M55" s="794"/>
      <c r="N55" s="794"/>
      <c r="O55" s="794"/>
      <c r="P55" s="794"/>
      <c r="Q55" s="794"/>
      <c r="R55" s="794"/>
      <c r="S55" s="794"/>
      <c r="T55" s="794"/>
      <c r="U55" s="794"/>
      <c r="V55" s="794"/>
      <c r="W55" s="794"/>
      <c r="X55" s="794"/>
      <c r="AC55" s="536"/>
    </row>
    <row r="56" s="58" customFormat="1" ht="13.5" customHeight="1" hidden="1">
      <c r="L56" s="794"/>
      <c r="M56" s="794"/>
      <c r="N56" s="794"/>
      <c r="O56" s="794"/>
      <c r="P56" s="794"/>
      <c r="Q56" s="794"/>
      <c r="R56" s="794"/>
      <c r="S56" s="794"/>
      <c r="T56" s="794"/>
      <c r="U56" s="794"/>
      <c r="V56" s="794"/>
      <c r="W56" s="794"/>
      <c r="X56" s="794"/>
      <c r="AC56" s="602"/>
    </row>
    <row r="57" s="58" customFormat="1" ht="12.75" customHeight="1" hidden="1">
      <c r="G57" s="796"/>
      <c r="H57" s="796"/>
      <c r="I57" s="796"/>
      <c r="J57" s="796"/>
      <c r="K57" s="796"/>
      <c r="L57" s="794"/>
      <c r="M57" s="794"/>
      <c r="N57" s="794"/>
      <c r="O57" s="794"/>
      <c r="P57" s="794"/>
      <c r="Q57" s="794"/>
      <c r="R57" s="794"/>
      <c r="S57" s="794"/>
      <c r="T57" s="794"/>
      <c r="U57" s="794"/>
      <c r="V57" s="794"/>
      <c r="W57" s="794"/>
      <c r="X57" s="794"/>
    </row>
    <row r="58" s="58" customFormat="1" ht="12.75" customHeight="1" hidden="1">
      <c r="E58" s="620"/>
      <c r="F58" s="113"/>
      <c r="L58" s="759"/>
      <c r="M58" s="759"/>
      <c r="N58" s="759"/>
      <c r="O58" s="759"/>
      <c r="P58" s="759"/>
      <c r="Q58" s="759"/>
      <c r="R58" s="759"/>
      <c r="S58" s="759"/>
      <c r="T58" s="759"/>
      <c r="U58" s="759"/>
      <c r="V58" s="759"/>
      <c r="W58" s="759"/>
      <c r="X58" s="759"/>
    </row>
    <row r="59" s="58" customFormat="1" ht="12.75" customHeight="1" hidden="1">
      <c r="L59" s="794"/>
      <c r="M59" s="794"/>
      <c r="N59" s="794"/>
      <c r="O59" s="794"/>
      <c r="P59" s="794"/>
      <c r="Q59" s="794"/>
      <c r="R59" s="794"/>
      <c r="S59" s="794"/>
      <c r="T59" s="794"/>
      <c r="U59" s="794"/>
      <c r="V59" s="794"/>
      <c r="W59" s="794"/>
      <c r="X59" s="794"/>
    </row>
    <row r="60" s="58" customFormat="1" ht="12.75" customHeight="1" hidden="1">
      <c r="F60" s="620"/>
      <c r="G60" s="796"/>
      <c r="H60" s="796"/>
      <c r="I60" s="796"/>
      <c r="J60" s="796"/>
      <c r="K60" s="796"/>
      <c r="L60" s="794"/>
      <c r="M60" s="794"/>
      <c r="N60" s="794"/>
      <c r="O60" s="794"/>
      <c r="P60" s="794"/>
      <c r="Q60" s="794"/>
      <c r="R60" s="794"/>
      <c r="S60" s="794"/>
      <c r="T60" s="794"/>
      <c r="U60" s="794"/>
      <c r="V60" s="794"/>
      <c r="W60" s="794"/>
      <c r="X60" s="794"/>
    </row>
    <row r="61" s="58" customFormat="1" ht="12.75" customHeight="1" hidden="1">
      <c r="L61" s="794"/>
      <c r="M61" s="794"/>
      <c r="N61" s="794"/>
      <c r="O61" s="794"/>
      <c r="P61" s="794"/>
      <c r="Q61" s="794"/>
      <c r="R61" s="794"/>
      <c r="S61" s="794"/>
      <c r="T61" s="794"/>
      <c r="U61" s="794"/>
      <c r="V61" s="794"/>
      <c r="W61" s="794"/>
      <c r="X61" s="794"/>
    </row>
    <row r="63" s="58" customFormat="1" ht="12.75" customHeight="1" hidden="1">
      <c r="L63" s="796"/>
      <c r="M63" s="796"/>
      <c r="N63" s="796"/>
      <c r="O63" s="796"/>
      <c r="P63" s="796"/>
      <c r="Q63" s="796"/>
      <c r="R63" s="796"/>
      <c r="S63" s="796"/>
      <c r="T63" s="796"/>
      <c r="U63" s="796"/>
      <c r="V63" s="796"/>
      <c r="W63" s="796"/>
      <c r="X63" s="796"/>
    </row>
    <row r="65" s="58" customFormat="1" ht="12.75" customHeight="1" hidden="1">
      <c r="L65" s="796"/>
      <c r="M65" s="796"/>
      <c r="N65" s="796"/>
      <c r="O65" s="796"/>
      <c r="P65" s="796"/>
      <c r="Q65" s="796"/>
      <c r="R65" s="796"/>
      <c r="S65" s="796"/>
      <c r="T65" s="796"/>
      <c r="U65" s="796"/>
      <c r="V65" s="796"/>
      <c r="W65" s="796"/>
      <c r="X65" s="796"/>
    </row>
    <row r="67" s="58" customFormat="1" ht="12.75" customHeight="1" hidden="1">
      <c r="L67" s="796"/>
      <c r="M67" s="796"/>
      <c r="N67" s="796"/>
      <c r="O67" s="796"/>
      <c r="P67" s="796"/>
      <c r="Q67" s="796"/>
      <c r="R67" s="796"/>
      <c r="S67" s="796"/>
      <c r="T67" s="796"/>
      <c r="U67" s="796"/>
      <c r="V67" s="796"/>
      <c r="W67" s="796"/>
      <c r="X67" s="796"/>
    </row>
    <row r="70" s="58" customFormat="1" ht="12.75" customHeight="1" hidden="1">
      <c r="L70" s="796"/>
      <c r="M70" s="796"/>
      <c r="N70" s="796"/>
      <c r="O70" s="796"/>
      <c r="P70" s="796"/>
      <c r="Q70" s="796"/>
      <c r="R70" s="796"/>
      <c r="S70" s="796"/>
      <c r="T70" s="796"/>
      <c r="U70" s="796"/>
      <c r="V70" s="796"/>
      <c r="W70" s="796"/>
      <c r="X70" s="796"/>
    </row>
    <row r="395" s="58" customFormat="1" ht="12.75" customHeight="1" hidden="1">
      <c r="A395" s="193"/>
    </row>
    <row r="400" s="58" customFormat="1" ht="12.75" customHeight="1" hidden="1">
      <c r="A400" s="190">
        <v>42892</v>
      </c>
    </row>
    <row r="402" s="58" customFormat="1" ht="12.75" customHeight="1" hidden="1">
      <c r="A402" s="190"/>
    </row>
  </sheetData>
  <mergeCells count="3">
    <mergeCell ref="B3:C3"/>
    <mergeCell ref="B27:C27"/>
    <mergeCell ref="E34:F34"/>
  </mergeCells>
  <pageMargins left="0.75" right="0.75" top="1" bottom="1" header="0.5" footer="0.5"/>
  <pageSetup firstPageNumber="1" fitToHeight="1" fitToWidth="1" scale="100" useFirstPageNumber="0" orientation="landscape" pageOrder="downThenOver"/>
  <headerFooter>
    <oddFooter>&amp;L&amp;"Helvetica,Regular"&amp;12&amp;K000000	&amp;P</oddFooter>
  </headerFooter>
</worksheet>
</file>

<file path=xl/worksheets/sheet19.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256" width="10" customWidth="1"/>
  </cols>
  <sheetData/>
  <pageMargins left="0.75" right="0.75" top="1" bottom="1" header="0.5" footer="0.5"/>
  <pageSetup firstPageNumber="1" fitToHeight="1" fitToWidth="1" scale="100" useFirstPageNumber="0" orientation="landscape" pageOrder="downThenOver"/>
  <headerFooter>
    <oddFooter>&amp;L&amp;"Helvetica,Regular"&amp;12&amp;K000000	&amp;P</oddFooter>
  </headerFooter>
  <drawing r:id="rId1"/>
  <legacyDrawing r:id="rId2"/>
</worksheet>
</file>

<file path=xl/worksheets/sheet2.xml><?xml version="1.0" encoding="utf-8"?>
<worksheet xmlns:r="http://schemas.openxmlformats.org/officeDocument/2006/relationships" xmlns="http://schemas.openxmlformats.org/spreadsheetml/2006/main">
  <dimension ref="A1:Q417"/>
  <sheetViews>
    <sheetView workbookViewId="0" showGridLines="0" defaultGridColor="1"/>
  </sheetViews>
  <sheetFormatPr defaultColWidth="6.625" defaultRowHeight="12.75" customHeight="1" outlineLevelRow="0" outlineLevelCol="0"/>
  <cols>
    <col min="1" max="1" width="6.75" style="6" customWidth="1"/>
    <col min="2" max="2" width="55.5" style="6" customWidth="1"/>
    <col min="3" max="3" width="10.5" style="6" customWidth="1"/>
    <col min="4" max="4" width="27.75" style="6" customWidth="1"/>
    <col min="5" max="5" width="2.375" style="6" customWidth="1"/>
    <col min="6" max="6" width="6.875" style="6" customWidth="1"/>
    <col min="7" max="7" hidden="1" width="6.625" style="6" customWidth="1"/>
    <col min="8" max="8" hidden="1" width="6.625" style="6" customWidth="1"/>
    <col min="9" max="9" hidden="1" width="6.625" style="6" customWidth="1"/>
    <col min="10" max="10" hidden="1" width="6.625" style="6" customWidth="1"/>
    <col min="11" max="11" hidden="1" width="6.625" style="6" customWidth="1"/>
    <col min="12" max="12" hidden="1" width="6.625" style="6" customWidth="1"/>
    <col min="13" max="13" hidden="1" width="6.625" style="6" customWidth="1"/>
    <col min="14" max="14" hidden="1" width="6.625" style="6" customWidth="1"/>
    <col min="15" max="15" hidden="1" width="6.625" style="6" customWidth="1"/>
    <col min="16" max="16" hidden="1" width="6.625" style="6" customWidth="1"/>
    <col min="17" max="17" hidden="1" width="6.625" style="6" customWidth="1"/>
    <col min="18" max="256" width="6.625" style="6" customWidth="1"/>
  </cols>
  <sheetData>
    <row r="1" ht="18" customHeight="1">
      <c r="A1" t="s" s="7">
        <v>6</v>
      </c>
      <c r="B1" s="8"/>
      <c r="C1" s="9"/>
      <c r="D1" s="10"/>
      <c r="E1" s="8"/>
      <c r="F1" s="8"/>
      <c r="G1" s="8"/>
      <c r="H1" s="8"/>
      <c r="I1" s="8"/>
      <c r="J1" s="8"/>
      <c r="K1" s="8"/>
      <c r="L1" s="8"/>
      <c r="M1" s="8"/>
      <c r="N1" s="8"/>
      <c r="O1" s="8"/>
      <c r="P1" s="8"/>
      <c r="Q1" s="8"/>
    </row>
    <row r="2" ht="17" customHeight="1">
      <c r="A2" s="11"/>
      <c r="B2" s="11"/>
      <c r="C2" s="9"/>
      <c r="D2" s="12"/>
      <c r="E2" s="11"/>
      <c r="F2" s="11"/>
      <c r="G2" s="11"/>
      <c r="H2" s="11"/>
      <c r="I2" s="11"/>
      <c r="J2" s="11"/>
      <c r="K2" s="11"/>
      <c r="L2" s="11"/>
      <c r="M2" s="11"/>
      <c r="N2" s="11"/>
      <c r="O2" s="11"/>
      <c r="P2" s="11"/>
      <c r="Q2" s="11"/>
    </row>
    <row r="3" ht="17" customHeight="1">
      <c r="A3" s="11"/>
      <c r="B3" s="11"/>
      <c r="C3" s="9"/>
      <c r="D3" s="9"/>
      <c r="E3" s="11"/>
      <c r="F3" s="11"/>
      <c r="G3" s="11"/>
      <c r="H3" s="11"/>
      <c r="I3" s="11"/>
      <c r="J3" s="11"/>
      <c r="K3" s="11"/>
      <c r="L3" s="11"/>
      <c r="M3" s="11"/>
      <c r="N3" s="11"/>
      <c r="O3" s="11"/>
      <c r="P3" s="11"/>
      <c r="Q3" s="11"/>
    </row>
    <row r="4" ht="17" customHeight="1">
      <c r="A4" s="11"/>
      <c r="B4" s="11"/>
      <c r="C4" s="13"/>
      <c r="D4" s="9"/>
      <c r="E4" s="11"/>
      <c r="F4" s="11"/>
      <c r="G4" s="11"/>
      <c r="H4" s="11"/>
      <c r="I4" s="11"/>
      <c r="J4" s="11"/>
      <c r="K4" s="11"/>
      <c r="L4" s="11"/>
      <c r="M4" s="11"/>
      <c r="N4" s="11"/>
      <c r="O4" s="11"/>
      <c r="P4" s="11"/>
      <c r="Q4" s="11"/>
    </row>
    <row r="5" ht="14.25" customHeight="1">
      <c r="A5" t="s" s="14">
        <v>7</v>
      </c>
      <c r="B5" t="s" s="14">
        <v>8</v>
      </c>
      <c r="C5" t="s" s="14">
        <v>9</v>
      </c>
      <c r="D5" s="15"/>
      <c r="E5" s="15"/>
      <c r="F5" s="15"/>
      <c r="G5" s="15"/>
      <c r="H5" s="15"/>
      <c r="I5" s="15"/>
      <c r="J5" s="15"/>
      <c r="K5" s="15"/>
      <c r="L5" s="15"/>
      <c r="M5" s="15"/>
      <c r="N5" s="15"/>
      <c r="O5" s="15"/>
      <c r="P5" s="15"/>
      <c r="Q5" t="s" s="14">
        <v>9</v>
      </c>
    </row>
    <row r="6" ht="14.25" customHeight="1">
      <c r="A6" s="15"/>
      <c r="B6" s="15"/>
      <c r="C6" s="15"/>
      <c r="D6" s="15"/>
      <c r="E6" s="15"/>
      <c r="F6" s="15"/>
      <c r="G6" s="15"/>
      <c r="H6" s="15"/>
      <c r="I6" s="15"/>
      <c r="J6" s="15"/>
      <c r="K6" s="15"/>
      <c r="L6" s="15"/>
      <c r="M6" s="15"/>
      <c r="N6" s="15"/>
      <c r="O6" s="15"/>
      <c r="P6" s="15"/>
      <c r="Q6" t="s" s="14">
        <v>10</v>
      </c>
    </row>
    <row r="7" ht="14.25" customHeight="1">
      <c r="A7" t="s" s="14">
        <v>11</v>
      </c>
      <c r="B7" t="s" s="14">
        <v>12</v>
      </c>
      <c r="C7" t="s" s="14">
        <v>9</v>
      </c>
      <c r="D7" s="15"/>
      <c r="E7" s="15"/>
      <c r="F7" s="15"/>
      <c r="G7" s="15"/>
      <c r="H7" s="15"/>
      <c r="I7" s="15"/>
      <c r="J7" s="15"/>
      <c r="K7" s="15"/>
      <c r="L7" s="15"/>
      <c r="M7" s="15"/>
      <c r="N7" s="15"/>
      <c r="O7" s="15"/>
      <c r="P7" s="15"/>
      <c r="Q7" s="15"/>
    </row>
    <row r="8" ht="14.25" customHeight="1">
      <c r="A8" s="15"/>
      <c r="B8" s="15"/>
      <c r="C8" s="15"/>
      <c r="D8" s="15"/>
      <c r="E8" s="15"/>
      <c r="F8" s="15"/>
      <c r="G8" s="15"/>
      <c r="H8" s="15"/>
      <c r="I8" s="15"/>
      <c r="J8" s="15"/>
      <c r="K8" s="15"/>
      <c r="L8" s="15"/>
      <c r="M8" s="15"/>
      <c r="N8" s="15"/>
      <c r="O8" s="15"/>
      <c r="P8" s="15"/>
      <c r="Q8" s="15"/>
    </row>
    <row r="9" ht="14.25" customHeight="1">
      <c r="A9" t="s" s="14">
        <v>13</v>
      </c>
      <c r="B9" t="s" s="14">
        <v>14</v>
      </c>
      <c r="C9" t="s" s="14">
        <v>9</v>
      </c>
      <c r="D9" s="15"/>
      <c r="E9" s="15"/>
      <c r="F9" s="15"/>
      <c r="G9" s="15"/>
      <c r="H9" s="15"/>
      <c r="I9" s="15"/>
      <c r="J9" s="15"/>
      <c r="K9" s="15"/>
      <c r="L9" s="15"/>
      <c r="M9" s="15"/>
      <c r="N9" s="15"/>
      <c r="O9" s="15"/>
      <c r="P9" s="15"/>
      <c r="Q9" s="15"/>
    </row>
    <row r="10" ht="14.25" customHeight="1">
      <c r="A10" s="15"/>
      <c r="B10" s="15"/>
      <c r="C10" s="15"/>
      <c r="D10" s="15"/>
      <c r="E10" s="15"/>
      <c r="F10" s="15"/>
      <c r="G10" s="15"/>
      <c r="H10" s="15"/>
      <c r="I10" s="15"/>
      <c r="J10" s="15"/>
      <c r="K10" s="15"/>
      <c r="L10" s="15"/>
      <c r="M10" s="15"/>
      <c r="N10" s="15"/>
      <c r="O10" s="15"/>
      <c r="P10" s="15"/>
      <c r="Q10" s="15"/>
    </row>
    <row r="11" ht="14.25" customHeight="1">
      <c r="A11" t="s" s="14">
        <v>15</v>
      </c>
      <c r="B11" t="s" s="14">
        <v>16</v>
      </c>
      <c r="C11" t="s" s="14">
        <v>9</v>
      </c>
      <c r="D11" s="15"/>
      <c r="E11" s="15"/>
      <c r="F11" s="15"/>
      <c r="G11" s="15"/>
      <c r="H11" s="15"/>
      <c r="I11" s="15"/>
      <c r="J11" s="15"/>
      <c r="K11" s="15"/>
      <c r="L11" s="15"/>
      <c r="M11" s="15"/>
      <c r="N11" s="15"/>
      <c r="O11" s="15"/>
      <c r="P11" s="15"/>
      <c r="Q11" t="s" s="14">
        <v>17</v>
      </c>
    </row>
    <row r="12" ht="14.25" customHeight="1">
      <c r="A12" s="15"/>
      <c r="B12" s="15"/>
      <c r="C12" s="15"/>
      <c r="D12" s="15"/>
      <c r="E12" s="15"/>
      <c r="F12" s="15"/>
      <c r="G12" s="15"/>
      <c r="H12" s="15"/>
      <c r="I12" s="15"/>
      <c r="J12" s="15"/>
      <c r="K12" s="15"/>
      <c r="L12" s="15"/>
      <c r="M12" s="15"/>
      <c r="N12" s="15"/>
      <c r="O12" s="15"/>
      <c r="P12" s="15"/>
      <c r="Q12" s="15"/>
    </row>
    <row r="13" ht="14.25" customHeight="1">
      <c r="A13" t="s" s="14">
        <v>18</v>
      </c>
      <c r="B13" t="s" s="14">
        <v>19</v>
      </c>
      <c r="C13" t="s" s="14">
        <v>9</v>
      </c>
      <c r="D13" s="15"/>
      <c r="E13" s="15"/>
      <c r="F13" s="15"/>
      <c r="G13" s="15"/>
      <c r="H13" s="15"/>
      <c r="I13" s="15"/>
      <c r="J13" s="15"/>
      <c r="K13" s="15"/>
      <c r="L13" s="15"/>
      <c r="M13" s="15"/>
      <c r="N13" s="15"/>
      <c r="O13" s="15"/>
      <c r="P13" s="15"/>
      <c r="Q13" s="15"/>
    </row>
    <row r="14" ht="14.25" customHeight="1">
      <c r="A14" s="15"/>
      <c r="B14" s="15"/>
      <c r="C14" s="15"/>
      <c r="D14" s="15"/>
      <c r="E14" s="15"/>
      <c r="F14" s="15"/>
      <c r="G14" s="15"/>
      <c r="H14" s="15"/>
      <c r="I14" s="15"/>
      <c r="J14" s="15"/>
      <c r="K14" s="15"/>
      <c r="L14" s="15"/>
      <c r="M14" s="15"/>
      <c r="N14" s="15"/>
      <c r="O14" s="15"/>
      <c r="P14" s="15"/>
      <c r="Q14" s="15"/>
    </row>
    <row r="15" ht="14.25" customHeight="1">
      <c r="A15" t="s" s="14">
        <v>20</v>
      </c>
      <c r="B15" t="s" s="14">
        <v>21</v>
      </c>
      <c r="C15" t="s" s="14">
        <v>9</v>
      </c>
      <c r="D15" s="15"/>
      <c r="E15" s="15"/>
      <c r="F15" s="15"/>
      <c r="G15" s="15"/>
      <c r="H15" s="15"/>
      <c r="I15" s="15"/>
      <c r="J15" s="15"/>
      <c r="K15" s="15"/>
      <c r="L15" s="15"/>
      <c r="M15" s="15"/>
      <c r="N15" s="15"/>
      <c r="O15" s="15"/>
      <c r="P15" s="15"/>
      <c r="Q15" s="15"/>
    </row>
    <row r="16" ht="14.25" customHeight="1">
      <c r="A16" s="15"/>
      <c r="B16" s="15"/>
      <c r="C16" s="15"/>
      <c r="D16" s="15"/>
      <c r="E16" s="15"/>
      <c r="F16" s="15"/>
      <c r="G16" s="15"/>
      <c r="H16" s="15"/>
      <c r="I16" s="15"/>
      <c r="J16" s="15"/>
      <c r="K16" s="15"/>
      <c r="L16" s="15"/>
      <c r="M16" s="15"/>
      <c r="N16" s="15"/>
      <c r="O16" s="15"/>
      <c r="P16" s="15"/>
      <c r="Q16" s="15"/>
    </row>
    <row r="17" ht="14.25" customHeight="1">
      <c r="A17" t="s" s="14">
        <v>22</v>
      </c>
      <c r="B17" t="s" s="14">
        <v>23</v>
      </c>
      <c r="C17" t="s" s="14">
        <v>17</v>
      </c>
      <c r="D17" s="15"/>
      <c r="E17" s="15"/>
      <c r="F17" s="15"/>
      <c r="G17" s="15"/>
      <c r="H17" s="15"/>
      <c r="I17" s="15"/>
      <c r="J17" s="15"/>
      <c r="K17" s="15"/>
      <c r="L17" s="15"/>
      <c r="M17" s="15"/>
      <c r="N17" s="15"/>
      <c r="O17" s="15"/>
      <c r="P17" s="15"/>
      <c r="Q17" s="15"/>
    </row>
    <row r="18" ht="14.25" customHeight="1">
      <c r="A18" s="15"/>
      <c r="B18" s="15"/>
      <c r="C18" s="15"/>
      <c r="D18" s="15"/>
      <c r="E18" s="15"/>
      <c r="F18" s="15"/>
      <c r="G18" s="15"/>
      <c r="H18" s="15"/>
      <c r="I18" s="15"/>
      <c r="J18" s="15"/>
      <c r="K18" s="15"/>
      <c r="L18" s="15"/>
      <c r="M18" s="15"/>
      <c r="N18" s="15"/>
      <c r="O18" s="15"/>
      <c r="P18" s="15"/>
      <c r="Q18" s="15"/>
    </row>
    <row r="19" ht="14.25" customHeight="1">
      <c r="A19" t="s" s="14">
        <v>24</v>
      </c>
      <c r="B19" t="s" s="14">
        <v>25</v>
      </c>
      <c r="C19" t="s" s="14">
        <v>9</v>
      </c>
      <c r="D19" s="15"/>
      <c r="E19" s="15"/>
      <c r="F19" s="15"/>
      <c r="G19" s="15"/>
      <c r="H19" s="15"/>
      <c r="I19" s="15"/>
      <c r="J19" s="15"/>
      <c r="K19" s="15"/>
      <c r="L19" s="15"/>
      <c r="M19" s="15"/>
      <c r="N19" s="15"/>
      <c r="O19" s="15"/>
      <c r="P19" s="15"/>
      <c r="Q19" s="15"/>
    </row>
    <row r="20" ht="14.25" customHeight="1">
      <c r="A20" s="15"/>
      <c r="B20" s="15"/>
      <c r="C20" s="15"/>
      <c r="D20" s="15"/>
      <c r="E20" s="15"/>
      <c r="F20" s="15"/>
      <c r="G20" s="15"/>
      <c r="H20" s="15"/>
      <c r="I20" s="15"/>
      <c r="J20" s="15"/>
      <c r="K20" s="15"/>
      <c r="L20" s="15"/>
      <c r="M20" s="15"/>
      <c r="N20" s="15"/>
      <c r="O20" s="15"/>
      <c r="P20" s="15"/>
      <c r="Q20" s="15"/>
    </row>
    <row r="21" ht="14.25" customHeight="1">
      <c r="A21" t="s" s="14">
        <v>24</v>
      </c>
      <c r="B21" t="s" s="14">
        <v>26</v>
      </c>
      <c r="C21" t="s" s="14">
        <v>9</v>
      </c>
      <c r="D21" s="15"/>
      <c r="E21" s="15"/>
      <c r="F21" s="15"/>
      <c r="G21" s="15"/>
      <c r="H21" s="15"/>
      <c r="I21" s="15"/>
      <c r="J21" s="15"/>
      <c r="K21" s="15"/>
      <c r="L21" s="15"/>
      <c r="M21" s="15"/>
      <c r="N21" s="15"/>
      <c r="O21" s="15"/>
      <c r="P21" s="15"/>
      <c r="Q21" s="15"/>
    </row>
    <row r="22" ht="14.25" customHeight="1">
      <c r="A22" s="15"/>
      <c r="B22" s="15"/>
      <c r="C22" s="15"/>
      <c r="D22" s="15"/>
      <c r="E22" s="15"/>
      <c r="F22" s="15"/>
      <c r="G22" s="15"/>
      <c r="H22" s="15"/>
      <c r="I22" s="15"/>
      <c r="J22" s="15"/>
      <c r="K22" s="15"/>
      <c r="L22" s="15"/>
      <c r="M22" s="15"/>
      <c r="N22" s="15"/>
      <c r="O22" s="15"/>
      <c r="P22" s="15"/>
      <c r="Q22" s="15"/>
    </row>
    <row r="23" ht="14.25" customHeight="1">
      <c r="A23" t="s" s="14">
        <v>27</v>
      </c>
      <c r="B23" t="s" s="14">
        <v>28</v>
      </c>
      <c r="C23" t="s" s="14">
        <v>17</v>
      </c>
      <c r="D23" s="15"/>
      <c r="E23" s="15"/>
      <c r="F23" s="15"/>
      <c r="G23" s="15"/>
      <c r="H23" s="15"/>
      <c r="I23" s="15"/>
      <c r="J23" s="15"/>
      <c r="K23" s="15"/>
      <c r="L23" s="15"/>
      <c r="M23" s="15"/>
      <c r="N23" s="15"/>
      <c r="O23" s="15"/>
      <c r="P23" s="15"/>
      <c r="Q23" s="15"/>
    </row>
    <row r="24" ht="14.25" customHeight="1">
      <c r="A24" s="15"/>
      <c r="B24" s="15"/>
      <c r="C24" s="15"/>
      <c r="D24" s="15"/>
      <c r="E24" s="15"/>
      <c r="F24" s="15"/>
      <c r="G24" s="15"/>
      <c r="H24" s="15"/>
      <c r="I24" s="15"/>
      <c r="J24" s="15"/>
      <c r="K24" s="15"/>
      <c r="L24" s="15"/>
      <c r="M24" s="15"/>
      <c r="N24" s="15"/>
      <c r="O24" s="15"/>
      <c r="P24" s="15"/>
      <c r="Q24" s="15"/>
    </row>
    <row r="25" ht="14.25" customHeight="1">
      <c r="A25" t="s" s="14">
        <v>29</v>
      </c>
      <c r="B25" t="s" s="14">
        <v>30</v>
      </c>
      <c r="C25" t="s" s="14">
        <v>17</v>
      </c>
      <c r="D25" s="15"/>
      <c r="E25" s="15"/>
      <c r="F25" s="15"/>
      <c r="G25" s="15"/>
      <c r="H25" s="15"/>
      <c r="I25" s="15"/>
      <c r="J25" s="15"/>
      <c r="K25" s="15"/>
      <c r="L25" s="15"/>
      <c r="M25" s="15"/>
      <c r="N25" s="15"/>
      <c r="O25" s="15"/>
      <c r="P25" s="15"/>
      <c r="Q25" s="15"/>
    </row>
    <row r="26" ht="14.25" customHeight="1">
      <c r="A26" s="15"/>
      <c r="B26" s="15"/>
      <c r="C26" s="15"/>
      <c r="D26" s="15"/>
      <c r="E26" s="15"/>
      <c r="F26" s="15"/>
      <c r="G26" s="15"/>
      <c r="H26" s="15"/>
      <c r="I26" s="15"/>
      <c r="J26" s="15"/>
      <c r="K26" s="15"/>
      <c r="L26" s="15"/>
      <c r="M26" s="15"/>
      <c r="N26" s="15"/>
      <c r="O26" s="15"/>
      <c r="P26" s="15"/>
      <c r="Q26" s="15"/>
    </row>
    <row r="27" ht="14.25" customHeight="1">
      <c r="A27" t="s" s="14">
        <v>31</v>
      </c>
      <c r="B27" t="s" s="14">
        <v>32</v>
      </c>
      <c r="C27" t="s" s="14">
        <v>17</v>
      </c>
      <c r="D27" s="15"/>
      <c r="E27" s="15"/>
      <c r="F27" s="15"/>
      <c r="G27" s="15"/>
      <c r="H27" s="15"/>
      <c r="I27" s="15"/>
      <c r="J27" s="15"/>
      <c r="K27" s="15"/>
      <c r="L27" s="15"/>
      <c r="M27" s="15"/>
      <c r="N27" s="15"/>
      <c r="O27" s="15"/>
      <c r="P27" s="15"/>
      <c r="Q27" s="15"/>
    </row>
    <row r="28" ht="14.25" customHeight="1">
      <c r="A28" s="15"/>
      <c r="B28" s="15"/>
      <c r="C28" s="15"/>
      <c r="D28" s="15"/>
      <c r="E28" s="15"/>
      <c r="F28" s="15"/>
      <c r="G28" s="15"/>
      <c r="H28" s="15"/>
      <c r="I28" s="15"/>
      <c r="J28" s="15"/>
      <c r="K28" s="15"/>
      <c r="L28" s="15"/>
      <c r="M28" s="15"/>
      <c r="N28" s="15"/>
      <c r="O28" s="15"/>
      <c r="P28" s="15"/>
      <c r="Q28" s="15"/>
    </row>
    <row r="29" ht="14.25" customHeight="1">
      <c r="A29" t="s" s="14">
        <v>33</v>
      </c>
      <c r="B29" t="s" s="14">
        <v>34</v>
      </c>
      <c r="C29" t="s" s="14">
        <v>17</v>
      </c>
      <c r="D29" s="15"/>
      <c r="E29" s="15"/>
      <c r="F29" s="15"/>
      <c r="G29" s="15"/>
      <c r="H29" s="15"/>
      <c r="I29" s="15"/>
      <c r="J29" s="15"/>
      <c r="K29" s="15"/>
      <c r="L29" s="15"/>
      <c r="M29" s="15"/>
      <c r="N29" s="15"/>
      <c r="O29" s="15"/>
      <c r="P29" s="15"/>
      <c r="Q29" s="15"/>
    </row>
    <row r="30" ht="14.25" customHeight="1">
      <c r="A30" s="15"/>
      <c r="B30" s="15"/>
      <c r="C30" s="15"/>
      <c r="D30" s="15"/>
      <c r="E30" s="15"/>
      <c r="F30" s="15"/>
      <c r="G30" s="15"/>
      <c r="H30" s="15"/>
      <c r="I30" s="15"/>
      <c r="J30" s="15"/>
      <c r="K30" s="15"/>
      <c r="L30" s="15"/>
      <c r="M30" s="15"/>
      <c r="N30" s="15"/>
      <c r="O30" s="15"/>
      <c r="P30" s="15"/>
      <c r="Q30" s="15"/>
    </row>
    <row r="31" ht="14.25" customHeight="1">
      <c r="A31" t="s" s="14">
        <v>35</v>
      </c>
      <c r="B31" t="s" s="14">
        <v>36</v>
      </c>
      <c r="C31" t="s" s="14">
        <v>9</v>
      </c>
      <c r="D31" s="15"/>
      <c r="E31" s="15"/>
      <c r="F31" s="15"/>
      <c r="G31" s="15"/>
      <c r="H31" s="15"/>
      <c r="I31" s="15"/>
      <c r="J31" s="15"/>
      <c r="K31" s="15"/>
      <c r="L31" s="15"/>
      <c r="M31" s="15"/>
      <c r="N31" s="15"/>
      <c r="O31" s="15"/>
      <c r="P31" s="15"/>
      <c r="Q31" s="15"/>
    </row>
    <row r="32" ht="14.25" customHeight="1">
      <c r="A32" s="15"/>
      <c r="B32" s="15"/>
      <c r="C32" s="15"/>
      <c r="D32" s="15"/>
      <c r="E32" s="15"/>
      <c r="F32" s="15"/>
      <c r="G32" s="15"/>
      <c r="H32" s="15"/>
      <c r="I32" s="15"/>
      <c r="J32" s="15"/>
      <c r="K32" s="15"/>
      <c r="L32" s="15"/>
      <c r="M32" s="15"/>
      <c r="N32" s="15"/>
      <c r="O32" s="15"/>
      <c r="P32" s="15"/>
      <c r="Q32" s="15"/>
    </row>
    <row r="33" ht="14.25" customHeight="1">
      <c r="A33" t="s" s="14">
        <v>37</v>
      </c>
      <c r="B33" t="s" s="14">
        <v>38</v>
      </c>
      <c r="C33" t="s" s="14">
        <v>9</v>
      </c>
      <c r="D33" s="15"/>
      <c r="E33" s="15"/>
      <c r="F33" s="15"/>
      <c r="G33" s="15"/>
      <c r="H33" s="15"/>
      <c r="I33" s="15"/>
      <c r="J33" s="15"/>
      <c r="K33" s="15"/>
      <c r="L33" s="15"/>
      <c r="M33" s="15"/>
      <c r="N33" s="15"/>
      <c r="O33" s="15"/>
      <c r="P33" s="15"/>
      <c r="Q33" s="15"/>
    </row>
    <row r="34" ht="17" customHeight="1">
      <c r="A34" s="11"/>
      <c r="B34" s="11"/>
      <c r="C34" s="11"/>
      <c r="D34" s="11"/>
      <c r="E34" s="11"/>
      <c r="F34" s="11"/>
      <c r="G34" s="11"/>
      <c r="H34" s="11"/>
      <c r="I34" s="11"/>
      <c r="J34" s="11"/>
      <c r="K34" s="11"/>
      <c r="L34" s="11"/>
      <c r="M34" s="11"/>
      <c r="N34" s="11"/>
      <c r="O34" s="11"/>
      <c r="P34" s="11"/>
      <c r="Q34" s="11"/>
    </row>
    <row r="35" ht="17" customHeight="1">
      <c r="A35" s="11"/>
      <c r="B35" s="11"/>
      <c r="C35" s="11"/>
      <c r="D35" s="11"/>
      <c r="E35" s="11"/>
      <c r="F35" s="11"/>
      <c r="G35" s="11"/>
      <c r="H35" s="11"/>
      <c r="I35" s="11"/>
      <c r="J35" s="11"/>
      <c r="K35" s="11"/>
      <c r="L35" s="11"/>
      <c r="M35" s="11"/>
      <c r="N35" s="11"/>
      <c r="O35" s="11"/>
      <c r="P35" s="11"/>
      <c r="Q35" s="11"/>
    </row>
    <row r="36" ht="18" customHeight="1">
      <c r="A36" t="s" s="7">
        <v>39</v>
      </c>
      <c r="B36" s="8"/>
      <c r="C36" s="8"/>
      <c r="D36" s="8"/>
      <c r="E36" s="8"/>
      <c r="F36" s="8"/>
      <c r="G36" s="8"/>
      <c r="H36" s="8"/>
      <c r="I36" s="8"/>
      <c r="J36" s="8"/>
      <c r="K36" s="8"/>
      <c r="L36" s="8"/>
      <c r="M36" s="8"/>
      <c r="N36" s="8"/>
      <c r="O36" s="8"/>
      <c r="P36" s="8"/>
      <c r="Q36" s="8"/>
    </row>
    <row r="37" ht="15.75" customHeight="1">
      <c r="A37" t="s" s="16">
        <v>40</v>
      </c>
      <c r="B37" s="17"/>
      <c r="C37" s="17"/>
      <c r="D37" s="17"/>
      <c r="E37" s="17"/>
      <c r="F37" s="18"/>
      <c r="G37" s="18"/>
      <c r="H37" s="18"/>
      <c r="I37" s="18"/>
      <c r="J37" s="18"/>
      <c r="K37" s="18"/>
      <c r="L37" s="18"/>
      <c r="M37" s="18"/>
      <c r="N37" s="18"/>
      <c r="O37" s="18"/>
      <c r="P37" s="18"/>
      <c r="Q37" s="18"/>
    </row>
    <row r="38" ht="32.25" customHeight="1">
      <c r="A38" s="19"/>
      <c r="B38" t="s" s="20">
        <v>41</v>
      </c>
      <c r="C38" s="21"/>
      <c r="D38" t="s" s="22">
        <v>42</v>
      </c>
      <c r="E38" s="23"/>
      <c r="F38" s="24"/>
      <c r="G38" s="25"/>
      <c r="H38" s="25"/>
      <c r="I38" s="25"/>
      <c r="J38" s="25"/>
      <c r="K38" s="25"/>
      <c r="L38" s="25"/>
      <c r="M38" s="25"/>
      <c r="N38" s="25"/>
      <c r="O38" s="25"/>
      <c r="P38" s="25"/>
      <c r="Q38" s="25"/>
    </row>
    <row r="39" ht="17" customHeight="1">
      <c r="A39" t="s" s="26">
        <v>7</v>
      </c>
      <c r="B39" t="s" s="27">
        <f>IF('Project Information'!C27&lt;'Project Information'!C26,"Start on site date is before purchase completion"," ")</f>
        <v>43</v>
      </c>
      <c r="C39" t="s" s="27">
        <f>IF(B39&lt;&gt;" ","Please Check"," ")</f>
        <v>43</v>
      </c>
      <c r="D39" t="s" s="28">
        <v>44</v>
      </c>
      <c r="E39" s="29"/>
      <c r="F39" s="30"/>
      <c r="G39" s="11"/>
      <c r="H39" s="11"/>
      <c r="I39" s="11"/>
      <c r="J39" s="11"/>
      <c r="K39" s="11"/>
      <c r="L39" s="11"/>
      <c r="M39" s="11"/>
      <c r="N39" s="11"/>
      <c r="O39" s="11"/>
      <c r="P39" s="11"/>
      <c r="Q39" s="11"/>
    </row>
    <row r="40" ht="17" customHeight="1">
      <c r="A40" t="s" s="31">
        <v>11</v>
      </c>
      <c r="B40" t="s" s="32">
        <f>IF('Project Information'!C28&lt;'Project Information'!C27,"Practical competion date is before start on site"," ")</f>
        <v>43</v>
      </c>
      <c r="C40" t="s" s="32">
        <f>IF(B40&lt;&gt;" ","Please Check"," ")</f>
        <v>43</v>
      </c>
      <c r="D40" t="s" s="33">
        <v>44</v>
      </c>
      <c r="E40" s="34"/>
      <c r="F40" s="30"/>
      <c r="G40" s="11"/>
      <c r="H40" s="11"/>
      <c r="I40" s="11"/>
      <c r="J40" s="11"/>
      <c r="K40" s="11"/>
      <c r="L40" s="11"/>
      <c r="M40" s="11"/>
      <c r="N40" s="11"/>
      <c r="O40" s="11"/>
      <c r="P40" s="11"/>
      <c r="Q40" s="11"/>
    </row>
    <row r="41" ht="17" customHeight="1">
      <c r="A41" t="s" s="31">
        <v>13</v>
      </c>
      <c r="B41" t="s" s="32">
        <f>IF('Project Information'!D23&lt;&gt;('Social Rent'!C21+'Affordable Rent'!C21+'Shared Ownership'!C21+'Market Rent'!C21+'Limited Equity'!C21+'OutrightSale'!C21+'Commercial'!C21),"Units in Project Information do not agree to individual tenure tabs"," ")</f>
        <v>43</v>
      </c>
      <c r="C41" t="s" s="32">
        <f>IF(B41&lt;&gt;" ","Please Check"," ")</f>
        <v>43</v>
      </c>
      <c r="D41" t="s" s="33">
        <v>44</v>
      </c>
      <c r="E41" s="34"/>
      <c r="F41" s="30"/>
      <c r="G41" s="11"/>
      <c r="H41" s="11"/>
      <c r="I41" s="11"/>
      <c r="J41" s="11"/>
      <c r="K41" s="11"/>
      <c r="L41" s="11"/>
      <c r="M41" s="11"/>
      <c r="N41" s="11"/>
      <c r="O41" s="11"/>
      <c r="P41" s="11"/>
      <c r="Q41" s="11"/>
    </row>
    <row r="42" ht="17" customHeight="1">
      <c r="A42" t="s" s="31">
        <v>15</v>
      </c>
      <c r="B42" t="s" s="32">
        <f>IF(AND('Summary'!E16&gt;0,SUM('Dev Cash Flow'!F18:F22)/'Summary'!D16&lt;1000),"Build cost is less than £1000 per Sq Mtr"," ")</f>
        <v>43</v>
      </c>
      <c r="C42" t="s" s="32">
        <f>IF(B42&lt;&gt;" ","Please Check"," ")</f>
        <v>43</v>
      </c>
      <c r="D42" t="s" s="33">
        <v>45</v>
      </c>
      <c r="E42" s="34"/>
      <c r="F42" s="30"/>
      <c r="G42" s="11"/>
      <c r="H42" s="11"/>
      <c r="I42" s="11"/>
      <c r="J42" s="11"/>
      <c r="K42" s="11"/>
      <c r="L42" s="11"/>
      <c r="M42" s="11"/>
      <c r="N42" s="11"/>
      <c r="O42" s="11"/>
      <c r="P42" s="11"/>
      <c r="Q42" s="11"/>
    </row>
    <row r="43" ht="17" customHeight="1">
      <c r="A43" t="s" s="31">
        <v>18</v>
      </c>
      <c r="B43" t="s" s="32">
        <f>IF(AND('Social Rent'!C21&gt;0,'Social Rent'!P21&gt;50%),"1999 values are greater than 50% of OMV"," ")</f>
        <v>43</v>
      </c>
      <c r="C43" t="s" s="32">
        <f>IF(B43&lt;&gt;" ","Please Check"," ")</f>
        <v>43</v>
      </c>
      <c r="D43" t="s" s="33">
        <v>46</v>
      </c>
      <c r="E43" s="34"/>
      <c r="F43" s="30"/>
      <c r="G43" s="11"/>
      <c r="H43" s="11"/>
      <c r="I43" s="11"/>
      <c r="J43" s="11"/>
      <c r="K43" s="11"/>
      <c r="L43" s="11"/>
      <c r="M43" s="11"/>
      <c r="N43" s="11"/>
      <c r="O43" s="11"/>
      <c r="P43" s="11"/>
      <c r="Q43" s="11"/>
    </row>
    <row r="44" ht="17" customHeight="1">
      <c r="A44" t="s" s="31">
        <v>20</v>
      </c>
      <c r="B44" t="s" s="32">
        <f>IF(AND('Shared Ownership'!C21&gt;0,'Shared Ownership'!K11&lt;'Project Information'!C28),"Date of Shared Ownership sales is before pracitical completion"," ")</f>
        <v>43</v>
      </c>
      <c r="C44" t="s" s="32">
        <f>IF(B44&lt;&gt;" ","Please Check"," ")</f>
        <v>43</v>
      </c>
      <c r="D44" t="s" s="33">
        <v>47</v>
      </c>
      <c r="E44" s="34"/>
      <c r="F44" s="30"/>
      <c r="G44" s="11"/>
      <c r="H44" s="11"/>
      <c r="I44" s="11"/>
      <c r="J44" s="11"/>
      <c r="K44" s="11"/>
      <c r="L44" s="11"/>
      <c r="M44" s="11"/>
      <c r="N44" s="11"/>
      <c r="O44" s="11"/>
      <c r="P44" s="11"/>
      <c r="Q44" s="11"/>
    </row>
    <row r="45" ht="17" customHeight="1">
      <c r="A45" t="s" s="31">
        <v>22</v>
      </c>
      <c r="B45" t="s" s="32">
        <f>IF(AND('Limited Equity'!C21&gt;0,'Limited Equity'!K11&lt;'Project Information'!C28),"Date of Equity Share sales is before practical completion"," ")</f>
        <v>43</v>
      </c>
      <c r="C45" t="s" s="32">
        <f>IF(B45&lt;&gt;" ","Please Check"," ")</f>
        <v>43</v>
      </c>
      <c r="D45" t="s" s="33">
        <v>48</v>
      </c>
      <c r="E45" s="34"/>
      <c r="F45" s="30"/>
      <c r="G45" s="11"/>
      <c r="H45" s="11"/>
      <c r="I45" s="11"/>
      <c r="J45" s="11"/>
      <c r="K45" s="11"/>
      <c r="L45" s="11"/>
      <c r="M45" s="11"/>
      <c r="N45" s="11"/>
      <c r="O45" s="11"/>
      <c r="P45" s="11"/>
      <c r="Q45" s="11"/>
    </row>
    <row r="46" ht="17" customHeight="1">
      <c r="A46" t="s" s="31">
        <v>24</v>
      </c>
      <c r="B46" t="s" s="32">
        <f>IF(AND('OutrightSale'!C21&gt;0,'OutrightSale'!I11&lt;'Project Information'!C28),"Date of Outright sales is before practical completion"," ")</f>
        <v>43</v>
      </c>
      <c r="C46" t="s" s="32">
        <f>IF(B46&lt;&gt;" ","Please Check"," ")</f>
        <v>43</v>
      </c>
      <c r="D46" t="s" s="33">
        <v>49</v>
      </c>
      <c r="E46" s="34"/>
      <c r="F46" s="30"/>
      <c r="G46" s="11"/>
      <c r="H46" s="11"/>
      <c r="I46" s="11"/>
      <c r="J46" s="11"/>
      <c r="K46" s="11"/>
      <c r="L46" s="11"/>
      <c r="M46" s="11"/>
      <c r="N46" s="11"/>
      <c r="O46" s="11"/>
      <c r="P46" s="11"/>
      <c r="Q46" s="11"/>
    </row>
    <row r="47" ht="17" customHeight="1">
      <c r="A47" s="35"/>
      <c r="B47" s="35"/>
      <c r="C47" s="35"/>
      <c r="D47" s="36"/>
      <c r="E47" s="34"/>
      <c r="F47" s="30"/>
      <c r="G47" s="11"/>
      <c r="H47" s="11"/>
      <c r="I47" s="11"/>
      <c r="J47" s="11"/>
      <c r="K47" s="11"/>
      <c r="L47" s="11"/>
      <c r="M47" s="11"/>
      <c r="N47" s="11"/>
      <c r="O47" s="11"/>
      <c r="P47" s="11"/>
      <c r="Q47" s="11"/>
    </row>
    <row r="48" ht="17" customHeight="1">
      <c r="A48" s="37"/>
      <c r="B48" s="37"/>
      <c r="C48" s="37"/>
      <c r="D48" s="38"/>
      <c r="E48" s="39"/>
      <c r="F48" s="30"/>
      <c r="G48" s="11"/>
      <c r="H48" s="11"/>
      <c r="I48" s="11"/>
      <c r="J48" s="11"/>
      <c r="K48" s="11"/>
      <c r="L48" s="11"/>
      <c r="M48" s="11"/>
      <c r="N48" s="11"/>
      <c r="O48" s="11"/>
      <c r="P48" s="11"/>
      <c r="Q48" s="11"/>
    </row>
    <row r="49" ht="17" customHeight="1">
      <c r="A49" s="40"/>
      <c r="B49" s="40"/>
      <c r="C49" s="40"/>
      <c r="D49" s="40"/>
      <c r="E49" s="40"/>
      <c r="F49" s="11"/>
      <c r="G49" s="11"/>
      <c r="H49" s="11"/>
      <c r="I49" s="11"/>
      <c r="J49" s="11"/>
      <c r="K49" s="11"/>
      <c r="L49" s="11"/>
      <c r="M49" s="11"/>
      <c r="N49" s="11"/>
      <c r="O49" s="11"/>
      <c r="P49" s="11"/>
      <c r="Q49" s="11"/>
    </row>
    <row r="50" ht="12.75" customHeight="1" hidden="1">
      <c r="A50" s="11"/>
      <c r="B50" s="11"/>
      <c r="C50" s="11"/>
      <c r="D50" s="11"/>
      <c r="E50" s="11"/>
      <c r="F50" s="11"/>
      <c r="G50" s="11"/>
      <c r="H50" s="11"/>
      <c r="I50" s="11"/>
      <c r="J50" s="11"/>
      <c r="K50" s="11"/>
      <c r="L50" s="11"/>
      <c r="M50" s="11"/>
      <c r="N50" s="11"/>
      <c r="O50" s="11"/>
      <c r="P50" s="11"/>
      <c r="Q50" s="11"/>
    </row>
    <row r="51" ht="12.75" customHeight="1" hidden="1">
      <c r="A51" s="11"/>
      <c r="B51" s="11"/>
      <c r="C51" s="11"/>
      <c r="D51" s="11"/>
      <c r="E51" s="11"/>
      <c r="F51" s="11"/>
      <c r="G51" s="11"/>
      <c r="H51" s="11"/>
      <c r="I51" s="11"/>
      <c r="J51" s="11"/>
      <c r="K51" s="11"/>
      <c r="L51" s="11"/>
      <c r="M51" s="11"/>
      <c r="N51" s="11"/>
      <c r="O51" s="11"/>
      <c r="P51" s="11"/>
      <c r="Q51" s="11"/>
    </row>
    <row r="52" ht="12.75" customHeight="1" hidden="1">
      <c r="A52" s="11"/>
      <c r="B52" s="11"/>
      <c r="C52" s="11"/>
      <c r="D52" s="11"/>
      <c r="E52" s="11"/>
      <c r="F52" s="11"/>
      <c r="G52" s="11"/>
      <c r="H52" s="11"/>
      <c r="I52" s="11"/>
      <c r="J52" s="11"/>
      <c r="K52" s="11"/>
      <c r="L52" s="11"/>
      <c r="M52" s="11"/>
      <c r="N52" s="11"/>
      <c r="O52" s="11"/>
      <c r="P52" s="11"/>
      <c r="Q52" s="11"/>
    </row>
    <row r="53" ht="12.75" customHeight="1" hidden="1">
      <c r="A53" s="11"/>
      <c r="B53" s="11"/>
      <c r="C53" s="11"/>
      <c r="D53" s="11"/>
      <c r="E53" s="11"/>
      <c r="F53" s="11"/>
      <c r="G53" s="11"/>
      <c r="H53" s="11"/>
      <c r="I53" s="11"/>
      <c r="J53" s="11"/>
      <c r="K53" s="11"/>
      <c r="L53" s="11"/>
      <c r="M53" s="11"/>
      <c r="N53" s="11"/>
      <c r="O53" s="11"/>
      <c r="P53" s="11"/>
      <c r="Q53" s="11"/>
    </row>
    <row r="54" ht="12.75" customHeight="1" hidden="1">
      <c r="A54" s="11"/>
      <c r="B54" s="11"/>
      <c r="C54" s="11"/>
      <c r="D54" s="11"/>
      <c r="E54" s="11"/>
      <c r="F54" s="11"/>
      <c r="G54" s="11"/>
      <c r="H54" s="11"/>
      <c r="I54" s="11"/>
      <c r="J54" s="11"/>
      <c r="K54" s="11"/>
      <c r="L54" s="11"/>
      <c r="M54" s="11"/>
      <c r="N54" s="11"/>
      <c r="O54" s="11"/>
      <c r="P54" s="11"/>
      <c r="Q54" s="11"/>
    </row>
    <row r="55" ht="12.75" customHeight="1" hidden="1">
      <c r="A55" s="11"/>
      <c r="B55" s="11"/>
      <c r="C55" s="11"/>
      <c r="D55" s="11"/>
      <c r="E55" s="11"/>
      <c r="F55" s="11"/>
      <c r="G55" s="11"/>
      <c r="H55" s="11"/>
      <c r="I55" s="11"/>
      <c r="J55" s="11"/>
      <c r="K55" s="11"/>
      <c r="L55" s="11"/>
      <c r="M55" s="11"/>
      <c r="N55" s="11"/>
      <c r="O55" s="11"/>
      <c r="P55" s="11"/>
      <c r="Q55" s="11"/>
    </row>
    <row r="56" ht="12.75" customHeight="1" hidden="1">
      <c r="A56" s="11"/>
      <c r="B56" s="11"/>
      <c r="C56" s="11"/>
      <c r="D56" s="11"/>
      <c r="E56" s="11"/>
      <c r="F56" s="11"/>
      <c r="G56" s="11"/>
      <c r="H56" s="11"/>
      <c r="I56" s="11"/>
      <c r="J56" s="11"/>
      <c r="K56" s="11"/>
      <c r="L56" s="11"/>
      <c r="M56" s="11"/>
      <c r="N56" s="11"/>
      <c r="O56" s="11"/>
      <c r="P56" s="11"/>
      <c r="Q56" s="11"/>
    </row>
    <row r="57" ht="12.75" customHeight="1" hidden="1">
      <c r="A57" s="11"/>
      <c r="B57" s="11"/>
      <c r="C57" s="11"/>
      <c r="D57" s="11"/>
      <c r="E57" s="11"/>
      <c r="F57" s="11"/>
      <c r="G57" s="11"/>
      <c r="H57" s="11"/>
      <c r="I57" s="11"/>
      <c r="J57" s="11"/>
      <c r="K57" s="11"/>
      <c r="L57" s="11"/>
      <c r="M57" s="11"/>
      <c r="N57" s="11"/>
      <c r="O57" s="11"/>
      <c r="P57" s="11"/>
      <c r="Q57" s="11"/>
    </row>
    <row r="58" ht="12.75" customHeight="1" hidden="1">
      <c r="A58" s="11"/>
      <c r="B58" s="11"/>
      <c r="C58" s="11"/>
      <c r="D58" s="11"/>
      <c r="E58" s="11"/>
      <c r="F58" s="11"/>
      <c r="G58" s="11"/>
      <c r="H58" s="11"/>
      <c r="I58" s="11"/>
      <c r="J58" s="11"/>
      <c r="K58" s="11"/>
      <c r="L58" s="11"/>
      <c r="M58" s="11"/>
      <c r="N58" s="11"/>
      <c r="O58" s="11"/>
      <c r="P58" s="11"/>
      <c r="Q58" s="11"/>
    </row>
    <row r="59" ht="12.75" customHeight="1" hidden="1">
      <c r="A59" s="11"/>
      <c r="B59" s="11"/>
      <c r="C59" s="11"/>
      <c r="D59" s="11"/>
      <c r="E59" s="11"/>
      <c r="F59" s="11"/>
      <c r="G59" s="11"/>
      <c r="H59" s="11"/>
      <c r="I59" s="11"/>
      <c r="J59" s="11"/>
      <c r="K59" s="11"/>
      <c r="L59" s="11"/>
      <c r="M59" s="11"/>
      <c r="N59" s="11"/>
      <c r="O59" s="11"/>
      <c r="P59" s="11"/>
      <c r="Q59" s="11"/>
    </row>
    <row r="60" ht="12.75" customHeight="1" hidden="1">
      <c r="A60" s="11"/>
      <c r="B60" s="11"/>
      <c r="C60" s="11"/>
      <c r="D60" s="11"/>
      <c r="E60" s="11"/>
      <c r="F60" s="11"/>
      <c r="G60" s="11"/>
      <c r="H60" s="11"/>
      <c r="I60" s="11"/>
      <c r="J60" s="11"/>
      <c r="K60" s="11"/>
      <c r="L60" s="11"/>
      <c r="M60" s="11"/>
      <c r="N60" s="11"/>
      <c r="O60" s="11"/>
      <c r="P60" s="11"/>
      <c r="Q60" s="11"/>
    </row>
    <row r="61" ht="12.75" customHeight="1" hidden="1">
      <c r="A61" s="11"/>
      <c r="B61" s="11"/>
      <c r="C61" s="11"/>
      <c r="D61" s="11"/>
      <c r="E61" s="11"/>
      <c r="F61" s="11"/>
      <c r="G61" s="11"/>
      <c r="H61" s="11"/>
      <c r="I61" s="11"/>
      <c r="J61" s="11"/>
      <c r="K61" s="11"/>
      <c r="L61" s="11"/>
      <c r="M61" s="11"/>
      <c r="N61" s="11"/>
      <c r="O61" s="11"/>
      <c r="P61" s="11"/>
      <c r="Q61" s="11"/>
    </row>
    <row r="62" ht="12.75" customHeight="1" hidden="1">
      <c r="A62" s="11"/>
      <c r="B62" s="11"/>
      <c r="C62" s="11"/>
      <c r="D62" s="11"/>
      <c r="E62" s="11"/>
      <c r="F62" s="11"/>
      <c r="G62" s="11"/>
      <c r="H62" s="11"/>
      <c r="I62" s="11"/>
      <c r="J62" s="11"/>
      <c r="K62" s="11"/>
      <c r="L62" s="11"/>
      <c r="M62" s="11"/>
      <c r="N62" s="11"/>
      <c r="O62" s="11"/>
      <c r="P62" s="11"/>
      <c r="Q62" s="11"/>
    </row>
    <row r="63" ht="12.75" customHeight="1" hidden="1">
      <c r="A63" s="11"/>
      <c r="B63" s="11"/>
      <c r="C63" s="11"/>
      <c r="D63" s="11"/>
      <c r="E63" s="11"/>
      <c r="F63" s="11"/>
      <c r="G63" s="11"/>
      <c r="H63" s="11"/>
      <c r="I63" s="11"/>
      <c r="J63" s="11"/>
      <c r="K63" s="11"/>
      <c r="L63" s="11"/>
      <c r="M63" s="11"/>
      <c r="N63" s="11"/>
      <c r="O63" s="11"/>
      <c r="P63" s="11"/>
      <c r="Q63" s="11"/>
    </row>
    <row r="64" ht="12.75" customHeight="1" hidden="1">
      <c r="A64" s="11"/>
      <c r="B64" s="11"/>
      <c r="C64" s="11"/>
      <c r="D64" s="11"/>
      <c r="E64" s="11"/>
      <c r="F64" s="11"/>
      <c r="G64" s="11"/>
      <c r="H64" s="11"/>
      <c r="I64" s="11"/>
      <c r="J64" s="11"/>
      <c r="K64" s="11"/>
      <c r="L64" s="11"/>
      <c r="M64" s="11"/>
      <c r="N64" s="11"/>
      <c r="O64" s="11"/>
      <c r="P64" s="11"/>
      <c r="Q64" s="11"/>
    </row>
    <row r="65" ht="12.75" customHeight="1" hidden="1">
      <c r="A65" s="11"/>
      <c r="B65" s="11"/>
      <c r="C65" s="11"/>
      <c r="D65" s="11"/>
      <c r="E65" s="11"/>
      <c r="F65" s="11"/>
      <c r="G65" s="11"/>
      <c r="H65" s="11"/>
      <c r="I65" s="11"/>
      <c r="J65" s="11"/>
      <c r="K65" s="11"/>
      <c r="L65" s="11"/>
      <c r="M65" s="11"/>
      <c r="N65" s="11"/>
      <c r="O65" s="11"/>
      <c r="P65" s="11"/>
      <c r="Q65" s="11"/>
    </row>
    <row r="66" ht="12.75" customHeight="1" hidden="1">
      <c r="A66" s="11"/>
      <c r="B66" s="11"/>
      <c r="C66" s="11"/>
      <c r="D66" s="11"/>
      <c r="E66" s="11"/>
      <c r="F66" s="11"/>
      <c r="G66" s="11"/>
      <c r="H66" s="11"/>
      <c r="I66" s="11"/>
      <c r="J66" s="11"/>
      <c r="K66" s="11"/>
      <c r="L66" s="11"/>
      <c r="M66" s="11"/>
      <c r="N66" s="11"/>
      <c r="O66" s="11"/>
      <c r="P66" s="11"/>
      <c r="Q66" s="11"/>
    </row>
    <row r="67" ht="12.75" customHeight="1" hidden="1">
      <c r="A67" s="11"/>
      <c r="B67" s="11"/>
      <c r="C67" s="11"/>
      <c r="D67" s="11"/>
      <c r="E67" s="11"/>
      <c r="F67" s="11"/>
      <c r="G67" s="11"/>
      <c r="H67" s="11"/>
      <c r="I67" s="11"/>
      <c r="J67" s="11"/>
      <c r="K67" s="11"/>
      <c r="L67" s="11"/>
      <c r="M67" s="11"/>
      <c r="N67" s="11"/>
      <c r="O67" s="11"/>
      <c r="P67" s="11"/>
      <c r="Q67" s="11"/>
    </row>
    <row r="68" ht="12.75" customHeight="1" hidden="1">
      <c r="A68" s="11"/>
      <c r="B68" s="11"/>
      <c r="C68" s="11"/>
      <c r="D68" s="11"/>
      <c r="E68" s="11"/>
      <c r="F68" s="11"/>
      <c r="G68" s="11"/>
      <c r="H68" s="11"/>
      <c r="I68" s="11"/>
      <c r="J68" s="11"/>
      <c r="K68" s="11"/>
      <c r="L68" s="11"/>
      <c r="M68" s="11"/>
      <c r="N68" s="11"/>
      <c r="O68" s="11"/>
      <c r="P68" s="11"/>
      <c r="Q68" s="11"/>
    </row>
    <row r="69" ht="12.75" customHeight="1" hidden="1">
      <c r="A69" s="11"/>
      <c r="B69" s="11"/>
      <c r="C69" s="11"/>
      <c r="D69" s="11"/>
      <c r="E69" s="11"/>
      <c r="F69" s="11"/>
      <c r="G69" s="11"/>
      <c r="H69" s="11"/>
      <c r="I69" s="11"/>
      <c r="J69" s="11"/>
      <c r="K69" s="11"/>
      <c r="L69" s="11"/>
      <c r="M69" s="11"/>
      <c r="N69" s="11"/>
      <c r="O69" s="11"/>
      <c r="P69" s="11"/>
      <c r="Q69" s="11"/>
    </row>
    <row r="70" ht="12.75" customHeight="1" hidden="1">
      <c r="A70" s="11"/>
      <c r="B70" s="11"/>
      <c r="C70" s="11"/>
      <c r="D70" s="11"/>
      <c r="E70" s="11"/>
      <c r="F70" s="11"/>
      <c r="G70" s="11"/>
      <c r="H70" s="11"/>
      <c r="I70" s="11"/>
      <c r="J70" s="11"/>
      <c r="K70" s="11"/>
      <c r="L70" s="11"/>
      <c r="M70" s="11"/>
      <c r="N70" s="11"/>
      <c r="O70" s="11"/>
      <c r="P70" s="11"/>
      <c r="Q70" s="11"/>
    </row>
    <row r="71" ht="12.75" customHeight="1" hidden="1">
      <c r="A71" s="11"/>
      <c r="B71" s="11"/>
      <c r="C71" s="11"/>
      <c r="D71" s="11"/>
      <c r="E71" s="11"/>
      <c r="F71" s="11"/>
      <c r="G71" s="11"/>
      <c r="H71" s="11"/>
      <c r="I71" s="11"/>
      <c r="J71" s="11"/>
      <c r="K71" s="11"/>
      <c r="L71" s="11"/>
      <c r="M71" s="11"/>
      <c r="N71" s="11"/>
      <c r="O71" s="11"/>
      <c r="P71" s="11"/>
      <c r="Q71" s="11"/>
    </row>
    <row r="72" ht="12.75" customHeight="1" hidden="1">
      <c r="A72" s="11"/>
      <c r="B72" s="11"/>
      <c r="C72" s="11"/>
      <c r="D72" s="11"/>
      <c r="E72" s="11"/>
      <c r="F72" s="11"/>
      <c r="G72" s="11"/>
      <c r="H72" s="11"/>
      <c r="I72" s="11"/>
      <c r="J72" s="11"/>
      <c r="K72" s="11"/>
      <c r="L72" s="11"/>
      <c r="M72" s="11"/>
      <c r="N72" s="11"/>
      <c r="O72" s="11"/>
      <c r="P72" s="11"/>
      <c r="Q72" s="11"/>
    </row>
    <row r="73" ht="12.75" customHeight="1" hidden="1">
      <c r="A73" s="11"/>
      <c r="B73" s="11"/>
      <c r="C73" s="11"/>
      <c r="D73" s="11"/>
      <c r="E73" s="11"/>
      <c r="F73" s="11"/>
      <c r="G73" s="11"/>
      <c r="H73" s="11"/>
      <c r="I73" s="11"/>
      <c r="J73" s="11"/>
      <c r="K73" s="11"/>
      <c r="L73" s="11"/>
      <c r="M73" s="11"/>
      <c r="N73" s="11"/>
      <c r="O73" s="11"/>
      <c r="P73" s="11"/>
      <c r="Q73" s="11"/>
    </row>
    <row r="74" ht="12.75" customHeight="1" hidden="1">
      <c r="A74" s="11"/>
      <c r="B74" s="11"/>
      <c r="C74" s="11"/>
      <c r="D74" s="11"/>
      <c r="E74" s="11"/>
      <c r="F74" s="11"/>
      <c r="G74" s="11"/>
      <c r="H74" s="11"/>
      <c r="I74" s="11"/>
      <c r="J74" s="11"/>
      <c r="K74" s="11"/>
      <c r="L74" s="11"/>
      <c r="M74" s="11"/>
      <c r="N74" s="11"/>
      <c r="O74" s="11"/>
      <c r="P74" s="11"/>
      <c r="Q74" s="11"/>
    </row>
    <row r="75" ht="12.75" customHeight="1" hidden="1">
      <c r="A75" s="11"/>
      <c r="B75" s="11"/>
      <c r="C75" s="11"/>
      <c r="D75" s="11"/>
      <c r="E75" s="11"/>
      <c r="F75" s="11"/>
      <c r="G75" s="11"/>
      <c r="H75" s="11"/>
      <c r="I75" s="11"/>
      <c r="J75" s="11"/>
      <c r="K75" s="11"/>
      <c r="L75" s="11"/>
      <c r="M75" s="11"/>
      <c r="N75" s="11"/>
      <c r="O75" s="11"/>
      <c r="P75" s="11"/>
      <c r="Q75" s="11"/>
    </row>
    <row r="76" ht="12.75" customHeight="1" hidden="1">
      <c r="A76" s="11"/>
      <c r="B76" s="11"/>
      <c r="C76" s="11"/>
      <c r="D76" s="11"/>
      <c r="E76" s="11"/>
      <c r="F76" s="11"/>
      <c r="G76" s="11"/>
      <c r="H76" s="11"/>
      <c r="I76" s="11"/>
      <c r="J76" s="11"/>
      <c r="K76" s="11"/>
      <c r="L76" s="11"/>
      <c r="M76" s="11"/>
      <c r="N76" s="11"/>
      <c r="O76" s="11"/>
      <c r="P76" s="11"/>
      <c r="Q76" s="11"/>
    </row>
    <row r="77" ht="12.75" customHeight="1" hidden="1">
      <c r="A77" s="11"/>
      <c r="B77" s="11"/>
      <c r="C77" s="11"/>
      <c r="D77" s="11"/>
      <c r="E77" s="11"/>
      <c r="F77" s="11"/>
      <c r="G77" s="11"/>
      <c r="H77" s="11"/>
      <c r="I77" s="11"/>
      <c r="J77" s="11"/>
      <c r="K77" s="11"/>
      <c r="L77" s="11"/>
      <c r="M77" s="11"/>
      <c r="N77" s="11"/>
      <c r="O77" s="11"/>
      <c r="P77" s="11"/>
      <c r="Q77" s="11"/>
    </row>
    <row r="78" ht="12.75" customHeight="1" hidden="1">
      <c r="A78" s="11"/>
      <c r="B78" s="11"/>
      <c r="C78" s="11"/>
      <c r="D78" s="11"/>
      <c r="E78" s="11"/>
      <c r="F78" s="11"/>
      <c r="G78" s="11"/>
      <c r="H78" s="11"/>
      <c r="I78" s="11"/>
      <c r="J78" s="11"/>
      <c r="K78" s="11"/>
      <c r="L78" s="11"/>
      <c r="M78" s="11"/>
      <c r="N78" s="11"/>
      <c r="O78" s="11"/>
      <c r="P78" s="11"/>
      <c r="Q78" s="11"/>
    </row>
    <row r="79" ht="12.75" customHeight="1" hidden="1">
      <c r="A79" s="11"/>
      <c r="B79" s="11"/>
      <c r="C79" s="11"/>
      <c r="D79" s="11"/>
      <c r="E79" s="11"/>
      <c r="F79" s="11"/>
      <c r="G79" s="11"/>
      <c r="H79" s="11"/>
      <c r="I79" s="11"/>
      <c r="J79" s="11"/>
      <c r="K79" s="11"/>
      <c r="L79" s="11"/>
      <c r="M79" s="11"/>
      <c r="N79" s="11"/>
      <c r="O79" s="11"/>
      <c r="P79" s="11"/>
      <c r="Q79" s="11"/>
    </row>
    <row r="80" ht="12.75" customHeight="1" hidden="1">
      <c r="A80" s="11"/>
      <c r="B80" s="11"/>
      <c r="C80" s="11"/>
      <c r="D80" s="11"/>
      <c r="E80" s="11"/>
      <c r="F80" s="11"/>
      <c r="G80" s="11"/>
      <c r="H80" s="11"/>
      <c r="I80" s="11"/>
      <c r="J80" s="11"/>
      <c r="K80" s="11"/>
      <c r="L80" s="11"/>
      <c r="M80" s="11"/>
      <c r="N80" s="11"/>
      <c r="O80" s="11"/>
      <c r="P80" s="11"/>
      <c r="Q80" s="11"/>
    </row>
    <row r="81" ht="12.75" customHeight="1" hidden="1">
      <c r="A81" s="11"/>
      <c r="B81" s="11"/>
      <c r="C81" s="11"/>
      <c r="D81" s="11"/>
      <c r="E81" s="11"/>
      <c r="F81" s="11"/>
      <c r="G81" s="11"/>
      <c r="H81" s="11"/>
      <c r="I81" s="11"/>
      <c r="J81" s="11"/>
      <c r="K81" s="11"/>
      <c r="L81" s="11"/>
      <c r="M81" s="11"/>
      <c r="N81" s="11"/>
      <c r="O81" s="11"/>
      <c r="P81" s="11"/>
      <c r="Q81" s="11"/>
    </row>
    <row r="82" ht="12.75" customHeight="1" hidden="1">
      <c r="A82" s="11"/>
      <c r="B82" s="11"/>
      <c r="C82" s="11"/>
      <c r="D82" s="11"/>
      <c r="E82" s="11"/>
      <c r="F82" s="11"/>
      <c r="G82" s="11"/>
      <c r="H82" s="11"/>
      <c r="I82" s="11"/>
      <c r="J82" s="11"/>
      <c r="K82" s="11"/>
      <c r="L82" s="11"/>
      <c r="M82" s="11"/>
      <c r="N82" s="11"/>
      <c r="O82" s="11"/>
      <c r="P82" s="11"/>
      <c r="Q82" s="11"/>
    </row>
    <row r="83" ht="12.75" customHeight="1" hidden="1">
      <c r="A83" s="11"/>
      <c r="B83" s="11"/>
      <c r="C83" s="11"/>
      <c r="D83" s="11"/>
      <c r="E83" s="11"/>
      <c r="F83" s="11"/>
      <c r="G83" s="11"/>
      <c r="H83" s="11"/>
      <c r="I83" s="11"/>
      <c r="J83" s="11"/>
      <c r="K83" s="11"/>
      <c r="L83" s="11"/>
      <c r="M83" s="11"/>
      <c r="N83" s="11"/>
      <c r="O83" s="11"/>
      <c r="P83" s="11"/>
      <c r="Q83" s="11"/>
    </row>
    <row r="84" ht="12.75" customHeight="1" hidden="1">
      <c r="A84" s="11"/>
      <c r="B84" s="11"/>
      <c r="C84" s="11"/>
      <c r="D84" s="11"/>
      <c r="E84" s="11"/>
      <c r="F84" s="11"/>
      <c r="G84" s="11"/>
      <c r="H84" s="11"/>
      <c r="I84" s="11"/>
      <c r="J84" s="11"/>
      <c r="K84" s="11"/>
      <c r="L84" s="11"/>
      <c r="M84" s="11"/>
      <c r="N84" s="11"/>
      <c r="O84" s="11"/>
      <c r="P84" s="11"/>
      <c r="Q84" s="11"/>
    </row>
    <row r="85" ht="12.75" customHeight="1" hidden="1">
      <c r="A85" s="11"/>
      <c r="B85" s="11"/>
      <c r="C85" s="11"/>
      <c r="D85" s="11"/>
      <c r="E85" s="11"/>
      <c r="F85" s="11"/>
      <c r="G85" s="11"/>
      <c r="H85" s="11"/>
      <c r="I85" s="11"/>
      <c r="J85" s="11"/>
      <c r="K85" s="11"/>
      <c r="L85" s="11"/>
      <c r="M85" s="11"/>
      <c r="N85" s="11"/>
      <c r="O85" s="11"/>
      <c r="P85" s="11"/>
      <c r="Q85" s="11"/>
    </row>
    <row r="86" ht="12.75" customHeight="1" hidden="1">
      <c r="A86" s="11"/>
      <c r="B86" s="11"/>
      <c r="C86" s="11"/>
      <c r="D86" s="11"/>
      <c r="E86" s="11"/>
      <c r="F86" s="11"/>
      <c r="G86" s="11"/>
      <c r="H86" s="11"/>
      <c r="I86" s="11"/>
      <c r="J86" s="11"/>
      <c r="K86" s="11"/>
      <c r="L86" s="11"/>
      <c r="M86" s="11"/>
      <c r="N86" s="11"/>
      <c r="O86" s="11"/>
      <c r="P86" s="11"/>
      <c r="Q86" s="11"/>
    </row>
    <row r="87" ht="12.75" customHeight="1" hidden="1">
      <c r="A87" s="11"/>
      <c r="B87" s="11"/>
      <c r="C87" s="11"/>
      <c r="D87" s="11"/>
      <c r="E87" s="11"/>
      <c r="F87" s="11"/>
      <c r="G87" s="11"/>
      <c r="H87" s="11"/>
      <c r="I87" s="11"/>
      <c r="J87" s="11"/>
      <c r="K87" s="11"/>
      <c r="L87" s="11"/>
      <c r="M87" s="11"/>
      <c r="N87" s="11"/>
      <c r="O87" s="11"/>
      <c r="P87" s="11"/>
      <c r="Q87" s="11"/>
    </row>
    <row r="88" ht="12.75" customHeight="1" hidden="1">
      <c r="A88" s="11"/>
      <c r="B88" s="11"/>
      <c r="C88" s="11"/>
      <c r="D88" s="11"/>
      <c r="E88" s="11"/>
      <c r="F88" s="11"/>
      <c r="G88" s="11"/>
      <c r="H88" s="11"/>
      <c r="I88" s="11"/>
      <c r="J88" s="11"/>
      <c r="K88" s="11"/>
      <c r="L88" s="11"/>
      <c r="M88" s="11"/>
      <c r="N88" s="11"/>
      <c r="O88" s="11"/>
      <c r="P88" s="11"/>
      <c r="Q88" s="11"/>
    </row>
    <row r="89" ht="12.75" customHeight="1" hidden="1">
      <c r="A89" s="11"/>
      <c r="B89" s="11"/>
      <c r="C89" s="11"/>
      <c r="D89" s="11"/>
      <c r="E89" s="11"/>
      <c r="F89" s="11"/>
      <c r="G89" s="11"/>
      <c r="H89" s="11"/>
      <c r="I89" s="11"/>
      <c r="J89" s="11"/>
      <c r="K89" s="11"/>
      <c r="L89" s="11"/>
      <c r="M89" s="11"/>
      <c r="N89" s="11"/>
      <c r="O89" s="11"/>
      <c r="P89" s="11"/>
      <c r="Q89" s="11"/>
    </row>
    <row r="90" ht="12.75" customHeight="1" hidden="1">
      <c r="A90" s="11"/>
      <c r="B90" s="11"/>
      <c r="C90" s="11"/>
      <c r="D90" s="11"/>
      <c r="E90" s="11"/>
      <c r="F90" s="11"/>
      <c r="G90" s="11"/>
      <c r="H90" s="11"/>
      <c r="I90" s="11"/>
      <c r="J90" s="11"/>
      <c r="K90" s="11"/>
      <c r="L90" s="11"/>
      <c r="M90" s="11"/>
      <c r="N90" s="11"/>
      <c r="O90" s="11"/>
      <c r="P90" s="11"/>
      <c r="Q90" s="11"/>
    </row>
    <row r="91" ht="12.75" customHeight="1" hidden="1">
      <c r="A91" s="11"/>
      <c r="B91" s="11"/>
      <c r="C91" s="11"/>
      <c r="D91" s="11"/>
      <c r="E91" s="11"/>
      <c r="F91" s="11"/>
      <c r="G91" s="11"/>
      <c r="H91" s="11"/>
      <c r="I91" s="11"/>
      <c r="J91" s="11"/>
      <c r="K91" s="11"/>
      <c r="L91" s="11"/>
      <c r="M91" s="11"/>
      <c r="N91" s="11"/>
      <c r="O91" s="11"/>
      <c r="P91" s="11"/>
      <c r="Q91" s="11"/>
    </row>
    <row r="92" ht="12.75" customHeight="1" hidden="1">
      <c r="A92" s="11"/>
      <c r="B92" s="11"/>
      <c r="C92" s="11"/>
      <c r="D92" s="11"/>
      <c r="E92" s="11"/>
      <c r="F92" s="11"/>
      <c r="G92" s="11"/>
      <c r="H92" s="11"/>
      <c r="I92" s="11"/>
      <c r="J92" s="11"/>
      <c r="K92" s="11"/>
      <c r="L92" s="11"/>
      <c r="M92" s="11"/>
      <c r="N92" s="11"/>
      <c r="O92" s="11"/>
      <c r="P92" s="11"/>
      <c r="Q92" s="11"/>
    </row>
    <row r="93" ht="12.75" customHeight="1" hidden="1">
      <c r="A93" s="11"/>
      <c r="B93" s="11"/>
      <c r="C93" s="11"/>
      <c r="D93" s="11"/>
      <c r="E93" s="11"/>
      <c r="F93" s="11"/>
      <c r="G93" s="11"/>
      <c r="H93" s="11"/>
      <c r="I93" s="11"/>
      <c r="J93" s="11"/>
      <c r="K93" s="11"/>
      <c r="L93" s="11"/>
      <c r="M93" s="11"/>
      <c r="N93" s="11"/>
      <c r="O93" s="11"/>
      <c r="P93" s="11"/>
      <c r="Q93" s="11"/>
    </row>
    <row r="94" ht="12.75" customHeight="1" hidden="1">
      <c r="A94" s="11"/>
      <c r="B94" s="11"/>
      <c r="C94" s="11"/>
      <c r="D94" s="11"/>
      <c r="E94" s="11"/>
      <c r="F94" s="11"/>
      <c r="G94" s="11"/>
      <c r="H94" s="11"/>
      <c r="I94" s="11"/>
      <c r="J94" s="11"/>
      <c r="K94" s="11"/>
      <c r="L94" s="11"/>
      <c r="M94" s="11"/>
      <c r="N94" s="11"/>
      <c r="O94" s="11"/>
      <c r="P94" s="11"/>
      <c r="Q94" s="11"/>
    </row>
    <row r="95" ht="12.75" customHeight="1" hidden="1">
      <c r="A95" s="11"/>
      <c r="B95" s="11"/>
      <c r="C95" s="11"/>
      <c r="D95" s="11"/>
      <c r="E95" s="11"/>
      <c r="F95" s="11"/>
      <c r="G95" s="11"/>
      <c r="H95" s="11"/>
      <c r="I95" s="11"/>
      <c r="J95" s="11"/>
      <c r="K95" s="11"/>
      <c r="L95" s="11"/>
      <c r="M95" s="11"/>
      <c r="N95" s="11"/>
      <c r="O95" s="11"/>
      <c r="P95" s="11"/>
      <c r="Q95" s="11"/>
    </row>
    <row r="96" ht="12.75" customHeight="1" hidden="1">
      <c r="A96" s="11"/>
      <c r="B96" s="11"/>
      <c r="C96" s="11"/>
      <c r="D96" s="11"/>
      <c r="E96" s="11"/>
      <c r="F96" s="11"/>
      <c r="G96" s="11"/>
      <c r="H96" s="11"/>
      <c r="I96" s="11"/>
      <c r="J96" s="11"/>
      <c r="K96" s="11"/>
      <c r="L96" s="11"/>
      <c r="M96" s="11"/>
      <c r="N96" s="11"/>
      <c r="O96" s="11"/>
      <c r="P96" s="11"/>
      <c r="Q96" s="11"/>
    </row>
    <row r="97" ht="12.75" customHeight="1" hidden="1">
      <c r="A97" s="11"/>
      <c r="B97" s="11"/>
      <c r="C97" s="11"/>
      <c r="D97" s="11"/>
      <c r="E97" s="11"/>
      <c r="F97" s="11"/>
      <c r="G97" s="11"/>
      <c r="H97" s="11"/>
      <c r="I97" s="11"/>
      <c r="J97" s="11"/>
      <c r="K97" s="11"/>
      <c r="L97" s="11"/>
      <c r="M97" s="11"/>
      <c r="N97" s="11"/>
      <c r="O97" s="11"/>
      <c r="P97" s="11"/>
      <c r="Q97" s="11"/>
    </row>
    <row r="98" ht="12.75" customHeight="1" hidden="1">
      <c r="A98" s="11"/>
      <c r="B98" s="11"/>
      <c r="C98" s="11"/>
      <c r="D98" s="11"/>
      <c r="E98" s="11"/>
      <c r="F98" s="11"/>
      <c r="G98" s="11"/>
      <c r="H98" s="11"/>
      <c r="I98" s="11"/>
      <c r="J98" s="11"/>
      <c r="K98" s="11"/>
      <c r="L98" s="11"/>
      <c r="M98" s="11"/>
      <c r="N98" s="11"/>
      <c r="O98" s="11"/>
      <c r="P98" s="11"/>
      <c r="Q98" s="11"/>
    </row>
    <row r="99" ht="12.75" customHeight="1" hidden="1">
      <c r="A99" s="11"/>
      <c r="B99" s="11"/>
      <c r="C99" s="11"/>
      <c r="D99" s="11"/>
      <c r="E99" s="11"/>
      <c r="F99" s="11"/>
      <c r="G99" s="11"/>
      <c r="H99" s="11"/>
      <c r="I99" s="11"/>
      <c r="J99" s="11"/>
      <c r="K99" s="11"/>
      <c r="L99" s="11"/>
      <c r="M99" s="11"/>
      <c r="N99" s="11"/>
      <c r="O99" s="11"/>
      <c r="P99" s="11"/>
      <c r="Q99" s="11"/>
    </row>
    <row r="100" ht="12.75" customHeight="1" hidden="1">
      <c r="A100" s="11"/>
      <c r="B100" s="11"/>
      <c r="C100" s="11"/>
      <c r="D100" s="11"/>
      <c r="E100" s="11"/>
      <c r="F100" s="11"/>
      <c r="G100" s="11"/>
      <c r="H100" s="11"/>
      <c r="I100" s="11"/>
      <c r="J100" s="11"/>
      <c r="K100" s="11"/>
      <c r="L100" s="11"/>
      <c r="M100" s="11"/>
      <c r="N100" s="11"/>
      <c r="O100" s="11"/>
      <c r="P100" s="11"/>
      <c r="Q100" s="11"/>
    </row>
    <row r="101" ht="12.75" customHeight="1" hidden="1">
      <c r="A101" s="11"/>
      <c r="B101" s="11"/>
      <c r="C101" s="11"/>
      <c r="D101" s="11"/>
      <c r="E101" s="11"/>
      <c r="F101" s="11"/>
      <c r="G101" s="11"/>
      <c r="H101" s="11"/>
      <c r="I101" s="11"/>
      <c r="J101" s="11"/>
      <c r="K101" s="11"/>
      <c r="L101" s="11"/>
      <c r="M101" s="11"/>
      <c r="N101" s="11"/>
      <c r="O101" s="11"/>
      <c r="P101" s="11"/>
      <c r="Q101" s="11"/>
    </row>
    <row r="102" ht="12.75" customHeight="1" hidden="1">
      <c r="A102" s="11"/>
      <c r="B102" s="11"/>
      <c r="C102" s="11"/>
      <c r="D102" s="11"/>
      <c r="E102" s="11"/>
      <c r="F102" s="11"/>
      <c r="G102" s="11"/>
      <c r="H102" s="11"/>
      <c r="I102" s="11"/>
      <c r="J102" s="11"/>
      <c r="K102" s="11"/>
      <c r="L102" s="11"/>
      <c r="M102" s="11"/>
      <c r="N102" s="11"/>
      <c r="O102" s="11"/>
      <c r="P102" s="11"/>
      <c r="Q102" s="11"/>
    </row>
    <row r="103" ht="12.75" customHeight="1" hidden="1">
      <c r="A103" s="11"/>
      <c r="B103" s="11"/>
      <c r="C103" s="11"/>
      <c r="D103" s="11"/>
      <c r="E103" s="11"/>
      <c r="F103" s="11"/>
      <c r="G103" s="11"/>
      <c r="H103" s="11"/>
      <c r="I103" s="11"/>
      <c r="J103" s="11"/>
      <c r="K103" s="11"/>
      <c r="L103" s="11"/>
      <c r="M103" s="11"/>
      <c r="N103" s="11"/>
      <c r="O103" s="11"/>
      <c r="P103" s="11"/>
      <c r="Q103" s="11"/>
    </row>
    <row r="104" ht="12.75" customHeight="1" hidden="1">
      <c r="A104" s="11"/>
      <c r="B104" s="11"/>
      <c r="C104" s="11"/>
      <c r="D104" s="11"/>
      <c r="E104" s="11"/>
      <c r="F104" s="11"/>
      <c r="G104" s="11"/>
      <c r="H104" s="11"/>
      <c r="I104" s="11"/>
      <c r="J104" s="11"/>
      <c r="K104" s="11"/>
      <c r="L104" s="11"/>
      <c r="M104" s="11"/>
      <c r="N104" s="11"/>
      <c r="O104" s="11"/>
      <c r="P104" s="11"/>
      <c r="Q104" s="11"/>
    </row>
    <row r="105" ht="12.75" customHeight="1" hidden="1">
      <c r="A105" s="11"/>
      <c r="B105" s="11"/>
      <c r="C105" s="11"/>
      <c r="D105" s="11"/>
      <c r="E105" s="11"/>
      <c r="F105" s="11"/>
      <c r="G105" s="11"/>
      <c r="H105" s="11"/>
      <c r="I105" s="11"/>
      <c r="J105" s="11"/>
      <c r="K105" s="11"/>
      <c r="L105" s="11"/>
      <c r="M105" s="11"/>
      <c r="N105" s="11"/>
      <c r="O105" s="11"/>
      <c r="P105" s="11"/>
      <c r="Q105" s="11"/>
    </row>
    <row r="106" ht="12.75" customHeight="1" hidden="1">
      <c r="A106" s="11"/>
      <c r="B106" s="11"/>
      <c r="C106" s="11"/>
      <c r="D106" s="11"/>
      <c r="E106" s="11"/>
      <c r="F106" s="11"/>
      <c r="G106" s="11"/>
      <c r="H106" s="11"/>
      <c r="I106" s="11"/>
      <c r="J106" s="11"/>
      <c r="K106" s="11"/>
      <c r="L106" s="11"/>
      <c r="M106" s="11"/>
      <c r="N106" s="11"/>
      <c r="O106" s="11"/>
      <c r="P106" s="11"/>
      <c r="Q106" s="11"/>
    </row>
    <row r="107" ht="12.75" customHeight="1" hidden="1">
      <c r="A107" s="11"/>
      <c r="B107" s="11"/>
      <c r="C107" s="11"/>
      <c r="D107" s="11"/>
      <c r="E107" s="11"/>
      <c r="F107" s="11"/>
      <c r="G107" s="11"/>
      <c r="H107" s="11"/>
      <c r="I107" s="11"/>
      <c r="J107" s="11"/>
      <c r="K107" s="11"/>
      <c r="L107" s="11"/>
      <c r="M107" s="11"/>
      <c r="N107" s="11"/>
      <c r="O107" s="11"/>
      <c r="P107" s="11"/>
      <c r="Q107" s="11"/>
    </row>
    <row r="108" ht="12.75" customHeight="1" hidden="1">
      <c r="A108" s="11"/>
      <c r="B108" s="11"/>
      <c r="C108" s="11"/>
      <c r="D108" s="11"/>
      <c r="E108" s="11"/>
      <c r="F108" s="11"/>
      <c r="G108" s="11"/>
      <c r="H108" s="11"/>
      <c r="I108" s="11"/>
      <c r="J108" s="11"/>
      <c r="K108" s="11"/>
      <c r="L108" s="11"/>
      <c r="M108" s="11"/>
      <c r="N108" s="11"/>
      <c r="O108" s="11"/>
      <c r="P108" s="11"/>
      <c r="Q108" s="11"/>
    </row>
    <row r="109" ht="12.75" customHeight="1" hidden="1">
      <c r="A109" s="11"/>
      <c r="B109" s="11"/>
      <c r="C109" s="11"/>
      <c r="D109" s="11"/>
      <c r="E109" s="11"/>
      <c r="F109" s="11"/>
      <c r="G109" s="11"/>
      <c r="H109" s="11"/>
      <c r="I109" s="11"/>
      <c r="J109" s="11"/>
      <c r="K109" s="11"/>
      <c r="L109" s="11"/>
      <c r="M109" s="11"/>
      <c r="N109" s="11"/>
      <c r="O109" s="11"/>
      <c r="P109" s="11"/>
      <c r="Q109" s="11"/>
    </row>
    <row r="110" ht="12.75" customHeight="1" hidden="1">
      <c r="A110" s="11"/>
      <c r="B110" s="11"/>
      <c r="C110" s="11"/>
      <c r="D110" s="11"/>
      <c r="E110" s="11"/>
      <c r="F110" s="11"/>
      <c r="G110" s="11"/>
      <c r="H110" s="11"/>
      <c r="I110" s="11"/>
      <c r="J110" s="11"/>
      <c r="K110" s="11"/>
      <c r="L110" s="11"/>
      <c r="M110" s="11"/>
      <c r="N110" s="11"/>
      <c r="O110" s="11"/>
      <c r="P110" s="11"/>
      <c r="Q110" s="11"/>
    </row>
    <row r="111" ht="12.75" customHeight="1" hidden="1">
      <c r="A111" s="11"/>
      <c r="B111" s="11"/>
      <c r="C111" s="11"/>
      <c r="D111" s="11"/>
      <c r="E111" s="11"/>
      <c r="F111" s="11"/>
      <c r="G111" s="11"/>
      <c r="H111" s="11"/>
      <c r="I111" s="11"/>
      <c r="J111" s="11"/>
      <c r="K111" s="11"/>
      <c r="L111" s="11"/>
      <c r="M111" s="11"/>
      <c r="N111" s="11"/>
      <c r="O111" s="11"/>
      <c r="P111" s="11"/>
      <c r="Q111" s="11"/>
    </row>
    <row r="112" ht="12.75" customHeight="1" hidden="1">
      <c r="A112" s="11"/>
      <c r="B112" s="11"/>
      <c r="C112" s="11"/>
      <c r="D112" s="11"/>
      <c r="E112" s="11"/>
      <c r="F112" s="11"/>
      <c r="G112" s="11"/>
      <c r="H112" s="11"/>
      <c r="I112" s="11"/>
      <c r="J112" s="11"/>
      <c r="K112" s="11"/>
      <c r="L112" s="11"/>
      <c r="M112" s="11"/>
      <c r="N112" s="11"/>
      <c r="O112" s="11"/>
      <c r="P112" s="11"/>
      <c r="Q112" s="11"/>
    </row>
    <row r="113" ht="12.75" customHeight="1" hidden="1">
      <c r="A113" s="11"/>
      <c r="B113" s="11"/>
      <c r="C113" s="11"/>
      <c r="D113" s="11"/>
      <c r="E113" s="11"/>
      <c r="F113" s="11"/>
      <c r="G113" s="11"/>
      <c r="H113" s="11"/>
      <c r="I113" s="11"/>
      <c r="J113" s="11"/>
      <c r="K113" s="11"/>
      <c r="L113" s="11"/>
      <c r="M113" s="11"/>
      <c r="N113" s="11"/>
      <c r="O113" s="11"/>
      <c r="P113" s="11"/>
      <c r="Q113" s="11"/>
    </row>
    <row r="114" ht="12.75" customHeight="1" hidden="1">
      <c r="A114" s="11"/>
      <c r="B114" s="11"/>
      <c r="C114" s="11"/>
      <c r="D114" s="11"/>
      <c r="E114" s="11"/>
      <c r="F114" s="11"/>
      <c r="G114" s="11"/>
      <c r="H114" s="11"/>
      <c r="I114" s="11"/>
      <c r="J114" s="11"/>
      <c r="K114" s="11"/>
      <c r="L114" s="11"/>
      <c r="M114" s="11"/>
      <c r="N114" s="11"/>
      <c r="O114" s="11"/>
      <c r="P114" s="11"/>
      <c r="Q114" s="11"/>
    </row>
    <row r="115" ht="12.75" customHeight="1" hidden="1">
      <c r="A115" s="11"/>
      <c r="B115" s="11"/>
      <c r="C115" s="11"/>
      <c r="D115" s="11"/>
      <c r="E115" s="11"/>
      <c r="F115" s="11"/>
      <c r="G115" s="11"/>
      <c r="H115" s="11"/>
      <c r="I115" s="11"/>
      <c r="J115" s="11"/>
      <c r="K115" s="11"/>
      <c r="L115" s="11"/>
      <c r="M115" s="11"/>
      <c r="N115" s="11"/>
      <c r="O115" s="11"/>
      <c r="P115" s="11"/>
      <c r="Q115" s="11"/>
    </row>
    <row r="116" ht="12.75" customHeight="1" hidden="1">
      <c r="A116" s="11"/>
      <c r="B116" s="11"/>
      <c r="C116" s="11"/>
      <c r="D116" s="11"/>
      <c r="E116" s="11"/>
      <c r="F116" s="11"/>
      <c r="G116" s="11"/>
      <c r="H116" s="11"/>
      <c r="I116" s="11"/>
      <c r="J116" s="11"/>
      <c r="K116" s="11"/>
      <c r="L116" s="11"/>
      <c r="M116" s="11"/>
      <c r="N116" s="11"/>
      <c r="O116" s="11"/>
      <c r="P116" s="11"/>
      <c r="Q116" s="11"/>
    </row>
    <row r="117" ht="12.75" customHeight="1" hidden="1">
      <c r="A117" s="11"/>
      <c r="B117" s="11"/>
      <c r="C117" s="11"/>
      <c r="D117" s="11"/>
      <c r="E117" s="11"/>
      <c r="F117" s="11"/>
      <c r="G117" s="11"/>
      <c r="H117" s="11"/>
      <c r="I117" s="11"/>
      <c r="J117" s="11"/>
      <c r="K117" s="11"/>
      <c r="L117" s="11"/>
      <c r="M117" s="11"/>
      <c r="N117" s="11"/>
      <c r="O117" s="11"/>
      <c r="P117" s="11"/>
      <c r="Q117" s="11"/>
    </row>
    <row r="118" ht="12.75" customHeight="1" hidden="1">
      <c r="A118" s="11"/>
      <c r="B118" s="11"/>
      <c r="C118" s="11"/>
      <c r="D118" s="11"/>
      <c r="E118" s="11"/>
      <c r="F118" s="11"/>
      <c r="G118" s="11"/>
      <c r="H118" s="11"/>
      <c r="I118" s="11"/>
      <c r="J118" s="11"/>
      <c r="K118" s="11"/>
      <c r="L118" s="11"/>
      <c r="M118" s="11"/>
      <c r="N118" s="11"/>
      <c r="O118" s="11"/>
      <c r="P118" s="11"/>
      <c r="Q118" s="11"/>
    </row>
    <row r="119" ht="12.75" customHeight="1" hidden="1">
      <c r="A119" s="11"/>
      <c r="B119" s="11"/>
      <c r="C119" s="11"/>
      <c r="D119" s="11"/>
      <c r="E119" s="11"/>
      <c r="F119" s="11"/>
      <c r="G119" s="11"/>
      <c r="H119" s="11"/>
      <c r="I119" s="11"/>
      <c r="J119" s="11"/>
      <c r="K119" s="11"/>
      <c r="L119" s="11"/>
      <c r="M119" s="11"/>
      <c r="N119" s="11"/>
      <c r="O119" s="11"/>
      <c r="P119" s="11"/>
      <c r="Q119" s="11"/>
    </row>
    <row r="120" ht="12.75" customHeight="1" hidden="1">
      <c r="A120" s="11"/>
      <c r="B120" s="11"/>
      <c r="C120" s="11"/>
      <c r="D120" s="11"/>
      <c r="E120" s="11"/>
      <c r="F120" s="11"/>
      <c r="G120" s="11"/>
      <c r="H120" s="11"/>
      <c r="I120" s="11"/>
      <c r="J120" s="11"/>
      <c r="K120" s="11"/>
      <c r="L120" s="11"/>
      <c r="M120" s="11"/>
      <c r="N120" s="11"/>
      <c r="O120" s="11"/>
      <c r="P120" s="11"/>
      <c r="Q120" s="11"/>
    </row>
    <row r="121" ht="12.75" customHeight="1" hidden="1">
      <c r="A121" s="11"/>
      <c r="B121" s="11"/>
      <c r="C121" s="11"/>
      <c r="D121" s="11"/>
      <c r="E121" s="11"/>
      <c r="F121" s="11"/>
      <c r="G121" s="11"/>
      <c r="H121" s="11"/>
      <c r="I121" s="11"/>
      <c r="J121" s="11"/>
      <c r="K121" s="11"/>
      <c r="L121" s="11"/>
      <c r="M121" s="11"/>
      <c r="N121" s="11"/>
      <c r="O121" s="11"/>
      <c r="P121" s="11"/>
      <c r="Q121" s="11"/>
    </row>
    <row r="122" ht="12.75" customHeight="1" hidden="1">
      <c r="A122" s="11"/>
      <c r="B122" s="11"/>
      <c r="C122" s="11"/>
      <c r="D122" s="11"/>
      <c r="E122" s="11"/>
      <c r="F122" s="11"/>
      <c r="G122" s="11"/>
      <c r="H122" s="11"/>
      <c r="I122" s="11"/>
      <c r="J122" s="11"/>
      <c r="K122" s="11"/>
      <c r="L122" s="11"/>
      <c r="M122" s="11"/>
      <c r="N122" s="11"/>
      <c r="O122" s="11"/>
      <c r="P122" s="11"/>
      <c r="Q122" s="11"/>
    </row>
    <row r="123" ht="12.75" customHeight="1" hidden="1">
      <c r="A123" s="11"/>
      <c r="B123" s="11"/>
      <c r="C123" s="11"/>
      <c r="D123" s="11"/>
      <c r="E123" s="11"/>
      <c r="F123" s="11"/>
      <c r="G123" s="11"/>
      <c r="H123" s="11"/>
      <c r="I123" s="11"/>
      <c r="J123" s="11"/>
      <c r="K123" s="11"/>
      <c r="L123" s="11"/>
      <c r="M123" s="11"/>
      <c r="N123" s="11"/>
      <c r="O123" s="11"/>
      <c r="P123" s="11"/>
      <c r="Q123" s="11"/>
    </row>
    <row r="124" ht="12.75" customHeight="1" hidden="1">
      <c r="A124" s="11"/>
      <c r="B124" s="11"/>
      <c r="C124" s="11"/>
      <c r="D124" s="11"/>
      <c r="E124" s="11"/>
      <c r="F124" s="11"/>
      <c r="G124" s="11"/>
      <c r="H124" s="11"/>
      <c r="I124" s="11"/>
      <c r="J124" s="11"/>
      <c r="K124" s="11"/>
      <c r="L124" s="11"/>
      <c r="M124" s="11"/>
      <c r="N124" s="11"/>
      <c r="O124" s="11"/>
      <c r="P124" s="11"/>
      <c r="Q124" s="11"/>
    </row>
    <row r="125" ht="12.75" customHeight="1" hidden="1">
      <c r="A125" s="11"/>
      <c r="B125" s="11"/>
      <c r="C125" s="11"/>
      <c r="D125" s="11"/>
      <c r="E125" s="11"/>
      <c r="F125" s="11"/>
      <c r="G125" s="11"/>
      <c r="H125" s="11"/>
      <c r="I125" s="11"/>
      <c r="J125" s="11"/>
      <c r="K125" s="11"/>
      <c r="L125" s="11"/>
      <c r="M125" s="11"/>
      <c r="N125" s="11"/>
      <c r="O125" s="11"/>
      <c r="P125" s="11"/>
      <c r="Q125" s="11"/>
    </row>
    <row r="126" ht="12.75" customHeight="1" hidden="1">
      <c r="A126" s="11"/>
      <c r="B126" s="11"/>
      <c r="C126" s="11"/>
      <c r="D126" s="11"/>
      <c r="E126" s="11"/>
      <c r="F126" s="11"/>
      <c r="G126" s="11"/>
      <c r="H126" s="11"/>
      <c r="I126" s="11"/>
      <c r="J126" s="11"/>
      <c r="K126" s="11"/>
      <c r="L126" s="11"/>
      <c r="M126" s="11"/>
      <c r="N126" s="11"/>
      <c r="O126" s="11"/>
      <c r="P126" s="11"/>
      <c r="Q126" s="11"/>
    </row>
    <row r="127" ht="12.75" customHeight="1" hidden="1">
      <c r="A127" s="11"/>
      <c r="B127" s="11"/>
      <c r="C127" s="11"/>
      <c r="D127" s="11"/>
      <c r="E127" s="11"/>
      <c r="F127" s="11"/>
      <c r="G127" s="11"/>
      <c r="H127" s="11"/>
      <c r="I127" s="11"/>
      <c r="J127" s="11"/>
      <c r="K127" s="11"/>
      <c r="L127" s="11"/>
      <c r="M127" s="11"/>
      <c r="N127" s="11"/>
      <c r="O127" s="11"/>
      <c r="P127" s="11"/>
      <c r="Q127" s="11"/>
    </row>
    <row r="128" ht="12.75" customHeight="1" hidden="1">
      <c r="A128" s="11"/>
      <c r="B128" s="11"/>
      <c r="C128" s="11"/>
      <c r="D128" s="11"/>
      <c r="E128" s="11"/>
      <c r="F128" s="11"/>
      <c r="G128" s="11"/>
      <c r="H128" s="11"/>
      <c r="I128" s="11"/>
      <c r="J128" s="11"/>
      <c r="K128" s="11"/>
      <c r="L128" s="11"/>
      <c r="M128" s="11"/>
      <c r="N128" s="11"/>
      <c r="O128" s="11"/>
      <c r="P128" s="11"/>
      <c r="Q128" s="11"/>
    </row>
    <row r="129" ht="12.75" customHeight="1" hidden="1">
      <c r="A129" s="11"/>
      <c r="B129" s="11"/>
      <c r="C129" s="11"/>
      <c r="D129" s="11"/>
      <c r="E129" s="11"/>
      <c r="F129" s="11"/>
      <c r="G129" s="11"/>
      <c r="H129" s="11"/>
      <c r="I129" s="11"/>
      <c r="J129" s="11"/>
      <c r="K129" s="11"/>
      <c r="L129" s="11"/>
      <c r="M129" s="11"/>
      <c r="N129" s="11"/>
      <c r="O129" s="11"/>
      <c r="P129" s="11"/>
      <c r="Q129" s="11"/>
    </row>
    <row r="130" ht="12.75" customHeight="1" hidden="1">
      <c r="A130" s="11"/>
      <c r="B130" s="11"/>
      <c r="C130" s="11"/>
      <c r="D130" s="11"/>
      <c r="E130" s="11"/>
      <c r="F130" s="11"/>
      <c r="G130" s="11"/>
      <c r="H130" s="11"/>
      <c r="I130" s="11"/>
      <c r="J130" s="11"/>
      <c r="K130" s="11"/>
      <c r="L130" s="11"/>
      <c r="M130" s="11"/>
      <c r="N130" s="11"/>
      <c r="O130" s="11"/>
      <c r="P130" s="11"/>
      <c r="Q130" s="11"/>
    </row>
    <row r="131" ht="12.75" customHeight="1" hidden="1">
      <c r="A131" s="11"/>
      <c r="B131" s="11"/>
      <c r="C131" s="11"/>
      <c r="D131" s="11"/>
      <c r="E131" s="11"/>
      <c r="F131" s="11"/>
      <c r="G131" s="11"/>
      <c r="H131" s="11"/>
      <c r="I131" s="11"/>
      <c r="J131" s="11"/>
      <c r="K131" s="11"/>
      <c r="L131" s="11"/>
      <c r="M131" s="11"/>
      <c r="N131" s="11"/>
      <c r="O131" s="11"/>
      <c r="P131" s="11"/>
      <c r="Q131" s="11"/>
    </row>
    <row r="132" ht="12.75" customHeight="1" hidden="1">
      <c r="A132" s="11"/>
      <c r="B132" s="11"/>
      <c r="C132" s="11"/>
      <c r="D132" s="11"/>
      <c r="E132" s="11"/>
      <c r="F132" s="11"/>
      <c r="G132" s="11"/>
      <c r="H132" s="11"/>
      <c r="I132" s="11"/>
      <c r="J132" s="11"/>
      <c r="K132" s="11"/>
      <c r="L132" s="11"/>
      <c r="M132" s="11"/>
      <c r="N132" s="11"/>
      <c r="O132" s="11"/>
      <c r="P132" s="11"/>
      <c r="Q132" s="11"/>
    </row>
    <row r="133" ht="12.75" customHeight="1" hidden="1">
      <c r="A133" s="11"/>
      <c r="B133" s="11"/>
      <c r="C133" s="11"/>
      <c r="D133" s="11"/>
      <c r="E133" s="11"/>
      <c r="F133" s="11"/>
      <c r="G133" s="11"/>
      <c r="H133" s="11"/>
      <c r="I133" s="11"/>
      <c r="J133" s="11"/>
      <c r="K133" s="11"/>
      <c r="L133" s="11"/>
      <c r="M133" s="11"/>
      <c r="N133" s="11"/>
      <c r="O133" s="11"/>
      <c r="P133" s="11"/>
      <c r="Q133" s="11"/>
    </row>
    <row r="134" ht="12.75" customHeight="1" hidden="1">
      <c r="A134" s="11"/>
      <c r="B134" s="11"/>
      <c r="C134" s="11"/>
      <c r="D134" s="11"/>
      <c r="E134" s="11"/>
      <c r="F134" s="11"/>
      <c r="G134" s="11"/>
      <c r="H134" s="11"/>
      <c r="I134" s="11"/>
      <c r="J134" s="11"/>
      <c r="K134" s="11"/>
      <c r="L134" s="11"/>
      <c r="M134" s="11"/>
      <c r="N134" s="11"/>
      <c r="O134" s="11"/>
      <c r="P134" s="11"/>
      <c r="Q134" s="11"/>
    </row>
    <row r="135" ht="12.75" customHeight="1" hidden="1">
      <c r="A135" s="11"/>
      <c r="B135" s="11"/>
      <c r="C135" s="11"/>
      <c r="D135" s="11"/>
      <c r="E135" s="11"/>
      <c r="F135" s="11"/>
      <c r="G135" s="11"/>
      <c r="H135" s="11"/>
      <c r="I135" s="11"/>
      <c r="J135" s="11"/>
      <c r="K135" s="11"/>
      <c r="L135" s="11"/>
      <c r="M135" s="11"/>
      <c r="N135" s="11"/>
      <c r="O135" s="11"/>
      <c r="P135" s="11"/>
      <c r="Q135" s="11"/>
    </row>
    <row r="136" ht="12.75" customHeight="1" hidden="1">
      <c r="A136" s="11"/>
      <c r="B136" s="11"/>
      <c r="C136" s="11"/>
      <c r="D136" s="11"/>
      <c r="E136" s="11"/>
      <c r="F136" s="11"/>
      <c r="G136" s="11"/>
      <c r="H136" s="11"/>
      <c r="I136" s="11"/>
      <c r="J136" s="11"/>
      <c r="K136" s="11"/>
      <c r="L136" s="11"/>
      <c r="M136" s="11"/>
      <c r="N136" s="11"/>
      <c r="O136" s="11"/>
      <c r="P136" s="11"/>
      <c r="Q136" s="11"/>
    </row>
    <row r="137" ht="12.75" customHeight="1" hidden="1">
      <c r="A137" s="11"/>
      <c r="B137" s="11"/>
      <c r="C137" s="11"/>
      <c r="D137" s="11"/>
      <c r="E137" s="11"/>
      <c r="F137" s="11"/>
      <c r="G137" s="11"/>
      <c r="H137" s="11"/>
      <c r="I137" s="11"/>
      <c r="J137" s="11"/>
      <c r="K137" s="11"/>
      <c r="L137" s="11"/>
      <c r="M137" s="11"/>
      <c r="N137" s="11"/>
      <c r="O137" s="11"/>
      <c r="P137" s="11"/>
      <c r="Q137" s="11"/>
    </row>
    <row r="138" ht="12.75" customHeight="1" hidden="1">
      <c r="A138" s="11"/>
      <c r="B138" s="11"/>
      <c r="C138" s="11"/>
      <c r="D138" s="11"/>
      <c r="E138" s="11"/>
      <c r="F138" s="11"/>
      <c r="G138" s="11"/>
      <c r="H138" s="11"/>
      <c r="I138" s="11"/>
      <c r="J138" s="11"/>
      <c r="K138" s="11"/>
      <c r="L138" s="11"/>
      <c r="M138" s="11"/>
      <c r="N138" s="11"/>
      <c r="O138" s="11"/>
      <c r="P138" s="11"/>
      <c r="Q138" s="11"/>
    </row>
    <row r="139" ht="12.75" customHeight="1" hidden="1">
      <c r="A139" s="11"/>
      <c r="B139" s="11"/>
      <c r="C139" s="11"/>
      <c r="D139" s="11"/>
      <c r="E139" s="11"/>
      <c r="F139" s="11"/>
      <c r="G139" s="11"/>
      <c r="H139" s="11"/>
      <c r="I139" s="11"/>
      <c r="J139" s="11"/>
      <c r="K139" s="11"/>
      <c r="L139" s="11"/>
      <c r="M139" s="11"/>
      <c r="N139" s="11"/>
      <c r="O139" s="11"/>
      <c r="P139" s="11"/>
      <c r="Q139" s="11"/>
    </row>
    <row r="140" ht="12.75" customHeight="1" hidden="1">
      <c r="A140" s="11"/>
      <c r="B140" s="11"/>
      <c r="C140" s="11"/>
      <c r="D140" s="11"/>
      <c r="E140" s="11"/>
      <c r="F140" s="11"/>
      <c r="G140" s="11"/>
      <c r="H140" s="11"/>
      <c r="I140" s="11"/>
      <c r="J140" s="11"/>
      <c r="K140" s="11"/>
      <c r="L140" s="11"/>
      <c r="M140" s="11"/>
      <c r="N140" s="11"/>
      <c r="O140" s="11"/>
      <c r="P140" s="11"/>
      <c r="Q140" s="11"/>
    </row>
    <row r="141" ht="12.75" customHeight="1" hidden="1">
      <c r="A141" s="11"/>
      <c r="B141" s="11"/>
      <c r="C141" s="11"/>
      <c r="D141" s="11"/>
      <c r="E141" s="11"/>
      <c r="F141" s="11"/>
      <c r="G141" s="11"/>
      <c r="H141" s="11"/>
      <c r="I141" s="11"/>
      <c r="J141" s="11"/>
      <c r="K141" s="11"/>
      <c r="L141" s="11"/>
      <c r="M141" s="11"/>
      <c r="N141" s="11"/>
      <c r="O141" s="11"/>
      <c r="P141" s="11"/>
      <c r="Q141" s="11"/>
    </row>
    <row r="142" ht="12.75" customHeight="1" hidden="1">
      <c r="A142" s="11"/>
      <c r="B142" s="11"/>
      <c r="C142" s="11"/>
      <c r="D142" s="11"/>
      <c r="E142" s="11"/>
      <c r="F142" s="11"/>
      <c r="G142" s="11"/>
      <c r="H142" s="11"/>
      <c r="I142" s="11"/>
      <c r="J142" s="11"/>
      <c r="K142" s="11"/>
      <c r="L142" s="11"/>
      <c r="M142" s="11"/>
      <c r="N142" s="11"/>
      <c r="O142" s="11"/>
      <c r="P142" s="11"/>
      <c r="Q142" s="11"/>
    </row>
    <row r="143" ht="12.75" customHeight="1" hidden="1">
      <c r="A143" s="11"/>
      <c r="B143" s="11"/>
      <c r="C143" s="11"/>
      <c r="D143" s="11"/>
      <c r="E143" s="11"/>
      <c r="F143" s="11"/>
      <c r="G143" s="11"/>
      <c r="H143" s="11"/>
      <c r="I143" s="11"/>
      <c r="J143" s="11"/>
      <c r="K143" s="11"/>
      <c r="L143" s="11"/>
      <c r="M143" s="11"/>
      <c r="N143" s="11"/>
      <c r="O143" s="11"/>
      <c r="P143" s="11"/>
      <c r="Q143" s="11"/>
    </row>
    <row r="144" ht="12.75" customHeight="1" hidden="1">
      <c r="A144" s="11"/>
      <c r="B144" s="11"/>
      <c r="C144" s="11"/>
      <c r="D144" s="11"/>
      <c r="E144" s="11"/>
      <c r="F144" s="11"/>
      <c r="G144" s="11"/>
      <c r="H144" s="11"/>
      <c r="I144" s="11"/>
      <c r="J144" s="11"/>
      <c r="K144" s="11"/>
      <c r="L144" s="11"/>
      <c r="M144" s="11"/>
      <c r="N144" s="11"/>
      <c r="O144" s="11"/>
      <c r="P144" s="11"/>
      <c r="Q144" s="11"/>
    </row>
    <row r="145" ht="12.75" customHeight="1" hidden="1">
      <c r="A145" s="11"/>
      <c r="B145" s="11"/>
      <c r="C145" s="11"/>
      <c r="D145" s="11"/>
      <c r="E145" s="11"/>
      <c r="F145" s="11"/>
      <c r="G145" s="11"/>
      <c r="H145" s="11"/>
      <c r="I145" s="11"/>
      <c r="J145" s="11"/>
      <c r="K145" s="11"/>
      <c r="L145" s="11"/>
      <c r="M145" s="11"/>
      <c r="N145" s="11"/>
      <c r="O145" s="11"/>
      <c r="P145" s="11"/>
      <c r="Q145" s="11"/>
    </row>
    <row r="146" ht="12.75" customHeight="1" hidden="1">
      <c r="A146" s="11"/>
      <c r="B146" s="11"/>
      <c r="C146" s="11"/>
      <c r="D146" s="11"/>
      <c r="E146" s="11"/>
      <c r="F146" s="11"/>
      <c r="G146" s="11"/>
      <c r="H146" s="11"/>
      <c r="I146" s="11"/>
      <c r="J146" s="11"/>
      <c r="K146" s="11"/>
      <c r="L146" s="11"/>
      <c r="M146" s="11"/>
      <c r="N146" s="11"/>
      <c r="O146" s="11"/>
      <c r="P146" s="11"/>
      <c r="Q146" s="11"/>
    </row>
    <row r="147" ht="12.75" customHeight="1" hidden="1">
      <c r="A147" s="11"/>
      <c r="B147" s="11"/>
      <c r="C147" s="11"/>
      <c r="D147" s="11"/>
      <c r="E147" s="11"/>
      <c r="F147" s="11"/>
      <c r="G147" s="11"/>
      <c r="H147" s="11"/>
      <c r="I147" s="11"/>
      <c r="J147" s="11"/>
      <c r="K147" s="11"/>
      <c r="L147" s="11"/>
      <c r="M147" s="11"/>
      <c r="N147" s="11"/>
      <c r="O147" s="11"/>
      <c r="P147" s="11"/>
      <c r="Q147" s="11"/>
    </row>
    <row r="148" ht="12.75" customHeight="1" hidden="1">
      <c r="A148" s="11"/>
      <c r="B148" s="11"/>
      <c r="C148" s="11"/>
      <c r="D148" s="11"/>
      <c r="E148" s="11"/>
      <c r="F148" s="11"/>
      <c r="G148" s="11"/>
      <c r="H148" s="11"/>
      <c r="I148" s="11"/>
      <c r="J148" s="11"/>
      <c r="K148" s="11"/>
      <c r="L148" s="11"/>
      <c r="M148" s="11"/>
      <c r="N148" s="11"/>
      <c r="O148" s="11"/>
      <c r="P148" s="11"/>
      <c r="Q148" s="11"/>
    </row>
    <row r="149" ht="12.75" customHeight="1" hidden="1">
      <c r="A149" s="11"/>
      <c r="B149" s="11"/>
      <c r="C149" s="11"/>
      <c r="D149" s="11"/>
      <c r="E149" s="11"/>
      <c r="F149" s="11"/>
      <c r="G149" s="11"/>
      <c r="H149" s="11"/>
      <c r="I149" s="11"/>
      <c r="J149" s="11"/>
      <c r="K149" s="11"/>
      <c r="L149" s="11"/>
      <c r="M149" s="11"/>
      <c r="N149" s="11"/>
      <c r="O149" s="11"/>
      <c r="P149" s="11"/>
      <c r="Q149" s="11"/>
    </row>
    <row r="150" ht="12.75" customHeight="1" hidden="1">
      <c r="A150" s="11"/>
      <c r="B150" s="11"/>
      <c r="C150" s="11"/>
      <c r="D150" s="11"/>
      <c r="E150" s="11"/>
      <c r="F150" s="11"/>
      <c r="G150" s="11"/>
      <c r="H150" s="11"/>
      <c r="I150" s="11"/>
      <c r="J150" s="11"/>
      <c r="K150" s="11"/>
      <c r="L150" s="11"/>
      <c r="M150" s="11"/>
      <c r="N150" s="11"/>
      <c r="O150" s="11"/>
      <c r="P150" s="11"/>
      <c r="Q150" s="11"/>
    </row>
    <row r="151" ht="12.75" customHeight="1" hidden="1">
      <c r="A151" s="11"/>
      <c r="B151" s="11"/>
      <c r="C151" s="11"/>
      <c r="D151" s="11"/>
      <c r="E151" s="11"/>
      <c r="F151" s="11"/>
      <c r="G151" s="11"/>
      <c r="H151" s="11"/>
      <c r="I151" s="11"/>
      <c r="J151" s="11"/>
      <c r="K151" s="11"/>
      <c r="L151" s="11"/>
      <c r="M151" s="11"/>
      <c r="N151" s="11"/>
      <c r="O151" s="11"/>
      <c r="P151" s="11"/>
      <c r="Q151" s="11"/>
    </row>
    <row r="152" ht="12.75" customHeight="1" hidden="1">
      <c r="A152" s="11"/>
      <c r="B152" s="11"/>
      <c r="C152" s="11"/>
      <c r="D152" s="11"/>
      <c r="E152" s="11"/>
      <c r="F152" s="11"/>
      <c r="G152" s="11"/>
      <c r="H152" s="11"/>
      <c r="I152" s="11"/>
      <c r="J152" s="11"/>
      <c r="K152" s="11"/>
      <c r="L152" s="11"/>
      <c r="M152" s="11"/>
      <c r="N152" s="11"/>
      <c r="O152" s="11"/>
      <c r="P152" s="11"/>
      <c r="Q152" s="11"/>
    </row>
    <row r="153" ht="12.75" customHeight="1" hidden="1">
      <c r="A153" s="11"/>
      <c r="B153" s="11"/>
      <c r="C153" s="11"/>
      <c r="D153" s="11"/>
      <c r="E153" s="11"/>
      <c r="F153" s="11"/>
      <c r="G153" s="11"/>
      <c r="H153" s="11"/>
      <c r="I153" s="11"/>
      <c r="J153" s="11"/>
      <c r="K153" s="11"/>
      <c r="L153" s="11"/>
      <c r="M153" s="11"/>
      <c r="N153" s="11"/>
      <c r="O153" s="11"/>
      <c r="P153" s="11"/>
      <c r="Q153" s="11"/>
    </row>
    <row r="154" ht="12.75" customHeight="1" hidden="1">
      <c r="A154" s="11"/>
      <c r="B154" s="11"/>
      <c r="C154" s="11"/>
      <c r="D154" s="11"/>
      <c r="E154" s="11"/>
      <c r="F154" s="11"/>
      <c r="G154" s="11"/>
      <c r="H154" s="11"/>
      <c r="I154" s="11"/>
      <c r="J154" s="11"/>
      <c r="K154" s="11"/>
      <c r="L154" s="11"/>
      <c r="M154" s="11"/>
      <c r="N154" s="11"/>
      <c r="O154" s="11"/>
      <c r="P154" s="11"/>
      <c r="Q154" s="11"/>
    </row>
    <row r="155" ht="12.75" customHeight="1" hidden="1">
      <c r="A155" s="11"/>
      <c r="B155" s="11"/>
      <c r="C155" s="11"/>
      <c r="D155" s="11"/>
      <c r="E155" s="11"/>
      <c r="F155" s="11"/>
      <c r="G155" s="11"/>
      <c r="H155" s="11"/>
      <c r="I155" s="11"/>
      <c r="J155" s="11"/>
      <c r="K155" s="11"/>
      <c r="L155" s="11"/>
      <c r="M155" s="11"/>
      <c r="N155" s="11"/>
      <c r="O155" s="11"/>
      <c r="P155" s="11"/>
      <c r="Q155" s="11"/>
    </row>
    <row r="156" ht="12.75" customHeight="1" hidden="1">
      <c r="A156" s="11"/>
      <c r="B156" s="11"/>
      <c r="C156" s="11"/>
      <c r="D156" s="11"/>
      <c r="E156" s="11"/>
      <c r="F156" s="11"/>
      <c r="G156" s="11"/>
      <c r="H156" s="11"/>
      <c r="I156" s="11"/>
      <c r="J156" s="11"/>
      <c r="K156" s="11"/>
      <c r="L156" s="11"/>
      <c r="M156" s="11"/>
      <c r="N156" s="11"/>
      <c r="O156" s="11"/>
      <c r="P156" s="11"/>
      <c r="Q156" s="11"/>
    </row>
    <row r="157" ht="12.75" customHeight="1" hidden="1">
      <c r="A157" s="11"/>
      <c r="B157" s="11"/>
      <c r="C157" s="11"/>
      <c r="D157" s="11"/>
      <c r="E157" s="11"/>
      <c r="F157" s="11"/>
      <c r="G157" s="11"/>
      <c r="H157" s="11"/>
      <c r="I157" s="11"/>
      <c r="J157" s="11"/>
      <c r="K157" s="11"/>
      <c r="L157" s="11"/>
      <c r="M157" s="11"/>
      <c r="N157" s="11"/>
      <c r="O157" s="11"/>
      <c r="P157" s="11"/>
      <c r="Q157" s="11"/>
    </row>
    <row r="158" ht="12.75" customHeight="1" hidden="1">
      <c r="A158" s="11"/>
      <c r="B158" s="11"/>
      <c r="C158" s="11"/>
      <c r="D158" s="11"/>
      <c r="E158" s="11"/>
      <c r="F158" s="11"/>
      <c r="G158" s="11"/>
      <c r="H158" s="11"/>
      <c r="I158" s="11"/>
      <c r="J158" s="11"/>
      <c r="K158" s="11"/>
      <c r="L158" s="11"/>
      <c r="M158" s="11"/>
      <c r="N158" s="11"/>
      <c r="O158" s="11"/>
      <c r="P158" s="11"/>
      <c r="Q158" s="11"/>
    </row>
    <row r="159" ht="12.75" customHeight="1" hidden="1">
      <c r="A159" s="11"/>
      <c r="B159" s="11"/>
      <c r="C159" s="11"/>
      <c r="D159" s="11"/>
      <c r="E159" s="11"/>
      <c r="F159" s="11"/>
      <c r="G159" s="11"/>
      <c r="H159" s="11"/>
      <c r="I159" s="11"/>
      <c r="J159" s="11"/>
      <c r="K159" s="11"/>
      <c r="L159" s="11"/>
      <c r="M159" s="11"/>
      <c r="N159" s="11"/>
      <c r="O159" s="11"/>
      <c r="P159" s="11"/>
      <c r="Q159" s="11"/>
    </row>
    <row r="160" ht="12.75" customHeight="1" hidden="1">
      <c r="A160" s="11"/>
      <c r="B160" s="11"/>
      <c r="C160" s="11"/>
      <c r="D160" s="11"/>
      <c r="E160" s="11"/>
      <c r="F160" s="11"/>
      <c r="G160" s="11"/>
      <c r="H160" s="11"/>
      <c r="I160" s="11"/>
      <c r="J160" s="11"/>
      <c r="K160" s="11"/>
      <c r="L160" s="11"/>
      <c r="M160" s="11"/>
      <c r="N160" s="11"/>
      <c r="O160" s="11"/>
      <c r="P160" s="11"/>
      <c r="Q160" s="11"/>
    </row>
    <row r="161" ht="12.75" customHeight="1" hidden="1">
      <c r="A161" s="11"/>
      <c r="B161" s="11"/>
      <c r="C161" s="11"/>
      <c r="D161" s="11"/>
      <c r="E161" s="11"/>
      <c r="F161" s="11"/>
      <c r="G161" s="11"/>
      <c r="H161" s="11"/>
      <c r="I161" s="11"/>
      <c r="J161" s="11"/>
      <c r="K161" s="11"/>
      <c r="L161" s="11"/>
      <c r="M161" s="11"/>
      <c r="N161" s="11"/>
      <c r="O161" s="11"/>
      <c r="P161" s="11"/>
      <c r="Q161" s="11"/>
    </row>
    <row r="162" ht="12.75" customHeight="1" hidden="1">
      <c r="A162" s="11"/>
      <c r="B162" s="11"/>
      <c r="C162" s="11"/>
      <c r="D162" s="11"/>
      <c r="E162" s="11"/>
      <c r="F162" s="11"/>
      <c r="G162" s="11"/>
      <c r="H162" s="11"/>
      <c r="I162" s="11"/>
      <c r="J162" s="11"/>
      <c r="K162" s="11"/>
      <c r="L162" s="11"/>
      <c r="M162" s="11"/>
      <c r="N162" s="11"/>
      <c r="O162" s="11"/>
      <c r="P162" s="11"/>
      <c r="Q162" s="11"/>
    </row>
    <row r="163" ht="12.75" customHeight="1" hidden="1">
      <c r="A163" s="11"/>
      <c r="B163" s="11"/>
      <c r="C163" s="11"/>
      <c r="D163" s="11"/>
      <c r="E163" s="11"/>
      <c r="F163" s="11"/>
      <c r="G163" s="11"/>
      <c r="H163" s="11"/>
      <c r="I163" s="11"/>
      <c r="J163" s="11"/>
      <c r="K163" s="11"/>
      <c r="L163" s="11"/>
      <c r="M163" s="11"/>
      <c r="N163" s="11"/>
      <c r="O163" s="11"/>
      <c r="P163" s="11"/>
      <c r="Q163" s="11"/>
    </row>
    <row r="164" ht="12.75" customHeight="1" hidden="1">
      <c r="A164" s="11"/>
      <c r="B164" s="11"/>
      <c r="C164" s="11"/>
      <c r="D164" s="11"/>
      <c r="E164" s="11"/>
      <c r="F164" s="11"/>
      <c r="G164" s="11"/>
      <c r="H164" s="11"/>
      <c r="I164" s="11"/>
      <c r="J164" s="11"/>
      <c r="K164" s="11"/>
      <c r="L164" s="11"/>
      <c r="M164" s="11"/>
      <c r="N164" s="11"/>
      <c r="O164" s="11"/>
      <c r="P164" s="11"/>
      <c r="Q164" s="11"/>
    </row>
    <row r="165" ht="12.75" customHeight="1" hidden="1">
      <c r="A165" s="11"/>
      <c r="B165" s="11"/>
      <c r="C165" s="11"/>
      <c r="D165" s="11"/>
      <c r="E165" s="11"/>
      <c r="F165" s="11"/>
      <c r="G165" s="11"/>
      <c r="H165" s="11"/>
      <c r="I165" s="11"/>
      <c r="J165" s="11"/>
      <c r="K165" s="11"/>
      <c r="L165" s="11"/>
      <c r="M165" s="11"/>
      <c r="N165" s="11"/>
      <c r="O165" s="11"/>
      <c r="P165" s="11"/>
      <c r="Q165" s="11"/>
    </row>
    <row r="166" ht="12.75" customHeight="1" hidden="1">
      <c r="A166" s="11"/>
      <c r="B166" s="11"/>
      <c r="C166" s="11"/>
      <c r="D166" s="11"/>
      <c r="E166" s="11"/>
      <c r="F166" s="11"/>
      <c r="G166" s="11"/>
      <c r="H166" s="11"/>
      <c r="I166" s="11"/>
      <c r="J166" s="11"/>
      <c r="K166" s="11"/>
      <c r="L166" s="11"/>
      <c r="M166" s="11"/>
      <c r="N166" s="11"/>
      <c r="O166" s="11"/>
      <c r="P166" s="11"/>
      <c r="Q166" s="11"/>
    </row>
    <row r="167" ht="12.75" customHeight="1" hidden="1">
      <c r="A167" s="11"/>
      <c r="B167" s="11"/>
      <c r="C167" s="11"/>
      <c r="D167" s="11"/>
      <c r="E167" s="11"/>
      <c r="F167" s="11"/>
      <c r="G167" s="11"/>
      <c r="H167" s="11"/>
      <c r="I167" s="11"/>
      <c r="J167" s="11"/>
      <c r="K167" s="11"/>
      <c r="L167" s="11"/>
      <c r="M167" s="11"/>
      <c r="N167" s="11"/>
      <c r="O167" s="11"/>
      <c r="P167" s="11"/>
      <c r="Q167" s="11"/>
    </row>
    <row r="168" ht="12.75" customHeight="1" hidden="1">
      <c r="A168" s="11"/>
      <c r="B168" s="11"/>
      <c r="C168" s="11"/>
      <c r="D168" s="11"/>
      <c r="E168" s="11"/>
      <c r="F168" s="11"/>
      <c r="G168" s="11"/>
      <c r="H168" s="11"/>
      <c r="I168" s="11"/>
      <c r="J168" s="11"/>
      <c r="K168" s="11"/>
      <c r="L168" s="11"/>
      <c r="M168" s="11"/>
      <c r="N168" s="11"/>
      <c r="O168" s="11"/>
      <c r="P168" s="11"/>
      <c r="Q168" s="11"/>
    </row>
    <row r="169" ht="12.75" customHeight="1" hidden="1">
      <c r="A169" s="11"/>
      <c r="B169" s="11"/>
      <c r="C169" s="11"/>
      <c r="D169" s="11"/>
      <c r="E169" s="11"/>
      <c r="F169" s="11"/>
      <c r="G169" s="11"/>
      <c r="H169" s="11"/>
      <c r="I169" s="11"/>
      <c r="J169" s="11"/>
      <c r="K169" s="11"/>
      <c r="L169" s="11"/>
      <c r="M169" s="11"/>
      <c r="N169" s="11"/>
      <c r="O169" s="11"/>
      <c r="P169" s="11"/>
      <c r="Q169" s="11"/>
    </row>
    <row r="170" ht="12.75" customHeight="1" hidden="1">
      <c r="A170" s="11"/>
      <c r="B170" s="11"/>
      <c r="C170" s="11"/>
      <c r="D170" s="11"/>
      <c r="E170" s="11"/>
      <c r="F170" s="11"/>
      <c r="G170" s="11"/>
      <c r="H170" s="11"/>
      <c r="I170" s="11"/>
      <c r="J170" s="11"/>
      <c r="K170" s="11"/>
      <c r="L170" s="11"/>
      <c r="M170" s="11"/>
      <c r="N170" s="11"/>
      <c r="O170" s="11"/>
      <c r="P170" s="11"/>
      <c r="Q170" s="11"/>
    </row>
    <row r="171" ht="12.75" customHeight="1" hidden="1">
      <c r="A171" s="11"/>
      <c r="B171" s="11"/>
      <c r="C171" s="11"/>
      <c r="D171" s="11"/>
      <c r="E171" s="11"/>
      <c r="F171" s="11"/>
      <c r="G171" s="11"/>
      <c r="H171" s="11"/>
      <c r="I171" s="11"/>
      <c r="J171" s="11"/>
      <c r="K171" s="11"/>
      <c r="L171" s="11"/>
      <c r="M171" s="11"/>
      <c r="N171" s="11"/>
      <c r="O171" s="11"/>
      <c r="P171" s="11"/>
      <c r="Q171" s="11"/>
    </row>
    <row r="172" ht="12.75" customHeight="1" hidden="1">
      <c r="A172" s="11"/>
      <c r="B172" s="11"/>
      <c r="C172" s="11"/>
      <c r="D172" s="11"/>
      <c r="E172" s="11"/>
      <c r="F172" s="11"/>
      <c r="G172" s="11"/>
      <c r="H172" s="11"/>
      <c r="I172" s="11"/>
      <c r="J172" s="11"/>
      <c r="K172" s="11"/>
      <c r="L172" s="11"/>
      <c r="M172" s="11"/>
      <c r="N172" s="11"/>
      <c r="O172" s="11"/>
      <c r="P172" s="11"/>
      <c r="Q172" s="11"/>
    </row>
    <row r="173" ht="12.75" customHeight="1" hidden="1">
      <c r="A173" s="11"/>
      <c r="B173" s="11"/>
      <c r="C173" s="11"/>
      <c r="D173" s="11"/>
      <c r="E173" s="11"/>
      <c r="F173" s="11"/>
      <c r="G173" s="11"/>
      <c r="H173" s="11"/>
      <c r="I173" s="11"/>
      <c r="J173" s="11"/>
      <c r="K173" s="11"/>
      <c r="L173" s="11"/>
      <c r="M173" s="11"/>
      <c r="N173" s="11"/>
      <c r="O173" s="11"/>
      <c r="P173" s="11"/>
      <c r="Q173" s="11"/>
    </row>
    <row r="174" ht="12.75" customHeight="1" hidden="1">
      <c r="A174" s="11"/>
      <c r="B174" s="11"/>
      <c r="C174" s="11"/>
      <c r="D174" s="11"/>
      <c r="E174" s="11"/>
      <c r="F174" s="11"/>
      <c r="G174" s="11"/>
      <c r="H174" s="11"/>
      <c r="I174" s="11"/>
      <c r="J174" s="11"/>
      <c r="K174" s="11"/>
      <c r="L174" s="11"/>
      <c r="M174" s="11"/>
      <c r="N174" s="11"/>
      <c r="O174" s="11"/>
      <c r="P174" s="11"/>
      <c r="Q174" s="11"/>
    </row>
    <row r="175" ht="12.75" customHeight="1" hidden="1">
      <c r="A175" s="11"/>
      <c r="B175" s="11"/>
      <c r="C175" s="11"/>
      <c r="D175" s="11"/>
      <c r="E175" s="11"/>
      <c r="F175" s="11"/>
      <c r="G175" s="11"/>
      <c r="H175" s="11"/>
      <c r="I175" s="11"/>
      <c r="J175" s="11"/>
      <c r="K175" s="11"/>
      <c r="L175" s="11"/>
      <c r="M175" s="11"/>
      <c r="N175" s="11"/>
      <c r="O175" s="11"/>
      <c r="P175" s="11"/>
      <c r="Q175" s="11"/>
    </row>
    <row r="176" ht="12.75" customHeight="1" hidden="1">
      <c r="A176" s="11"/>
      <c r="B176" s="11"/>
      <c r="C176" s="11"/>
      <c r="D176" s="11"/>
      <c r="E176" s="11"/>
      <c r="F176" s="11"/>
      <c r="G176" s="11"/>
      <c r="H176" s="11"/>
      <c r="I176" s="11"/>
      <c r="J176" s="11"/>
      <c r="K176" s="11"/>
      <c r="L176" s="11"/>
      <c r="M176" s="11"/>
      <c r="N176" s="11"/>
      <c r="O176" s="11"/>
      <c r="P176" s="11"/>
      <c r="Q176" s="11"/>
    </row>
    <row r="177" ht="12.75" customHeight="1" hidden="1">
      <c r="A177" s="11"/>
      <c r="B177" s="11"/>
      <c r="C177" s="11"/>
      <c r="D177" s="11"/>
      <c r="E177" s="11"/>
      <c r="F177" s="11"/>
      <c r="G177" s="11"/>
      <c r="H177" s="11"/>
      <c r="I177" s="11"/>
      <c r="J177" s="11"/>
      <c r="K177" s="11"/>
      <c r="L177" s="11"/>
      <c r="M177" s="11"/>
      <c r="N177" s="11"/>
      <c r="O177" s="11"/>
      <c r="P177" s="11"/>
      <c r="Q177" s="11"/>
    </row>
    <row r="178" ht="12.75" customHeight="1" hidden="1">
      <c r="A178" s="11"/>
      <c r="B178" s="11"/>
      <c r="C178" s="11"/>
      <c r="D178" s="11"/>
      <c r="E178" s="11"/>
      <c r="F178" s="11"/>
      <c r="G178" s="11"/>
      <c r="H178" s="11"/>
      <c r="I178" s="11"/>
      <c r="J178" s="11"/>
      <c r="K178" s="11"/>
      <c r="L178" s="11"/>
      <c r="M178" s="11"/>
      <c r="N178" s="11"/>
      <c r="O178" s="11"/>
      <c r="P178" s="11"/>
      <c r="Q178" s="11"/>
    </row>
    <row r="179" ht="12.75" customHeight="1" hidden="1">
      <c r="A179" s="11"/>
      <c r="B179" s="11"/>
      <c r="C179" s="11"/>
      <c r="D179" s="11"/>
      <c r="E179" s="11"/>
      <c r="F179" s="11"/>
      <c r="G179" s="11"/>
      <c r="H179" s="11"/>
      <c r="I179" s="11"/>
      <c r="J179" s="11"/>
      <c r="K179" s="11"/>
      <c r="L179" s="11"/>
      <c r="M179" s="11"/>
      <c r="N179" s="11"/>
      <c r="O179" s="11"/>
      <c r="P179" s="11"/>
      <c r="Q179" s="11"/>
    </row>
    <row r="180" ht="12.75" customHeight="1" hidden="1">
      <c r="A180" s="11"/>
      <c r="B180" s="11"/>
      <c r="C180" s="11"/>
      <c r="D180" s="11"/>
      <c r="E180" s="11"/>
      <c r="F180" s="11"/>
      <c r="G180" s="11"/>
      <c r="H180" s="11"/>
      <c r="I180" s="11"/>
      <c r="J180" s="11"/>
      <c r="K180" s="11"/>
      <c r="L180" s="11"/>
      <c r="M180" s="11"/>
      <c r="N180" s="11"/>
      <c r="O180" s="11"/>
      <c r="P180" s="11"/>
      <c r="Q180" s="11"/>
    </row>
    <row r="181" ht="12.75" customHeight="1" hidden="1">
      <c r="A181" s="11"/>
      <c r="B181" s="11"/>
      <c r="C181" s="11"/>
      <c r="D181" s="11"/>
      <c r="E181" s="11"/>
      <c r="F181" s="11"/>
      <c r="G181" s="11"/>
      <c r="H181" s="11"/>
      <c r="I181" s="11"/>
      <c r="J181" s="11"/>
      <c r="K181" s="11"/>
      <c r="L181" s="11"/>
      <c r="M181" s="11"/>
      <c r="N181" s="11"/>
      <c r="O181" s="11"/>
      <c r="P181" s="11"/>
      <c r="Q181" s="11"/>
    </row>
    <row r="182" ht="12.75" customHeight="1" hidden="1">
      <c r="A182" s="11"/>
      <c r="B182" s="11"/>
      <c r="C182" s="11"/>
      <c r="D182" s="11"/>
      <c r="E182" s="11"/>
      <c r="F182" s="11"/>
      <c r="G182" s="11"/>
      <c r="H182" s="11"/>
      <c r="I182" s="11"/>
      <c r="J182" s="11"/>
      <c r="K182" s="11"/>
      <c r="L182" s="11"/>
      <c r="M182" s="11"/>
      <c r="N182" s="11"/>
      <c r="O182" s="11"/>
      <c r="P182" s="11"/>
      <c r="Q182" s="11"/>
    </row>
    <row r="183" ht="12.75" customHeight="1" hidden="1">
      <c r="A183" s="11"/>
      <c r="B183" s="11"/>
      <c r="C183" s="11"/>
      <c r="D183" s="11"/>
      <c r="E183" s="11"/>
      <c r="F183" s="11"/>
      <c r="G183" s="11"/>
      <c r="H183" s="11"/>
      <c r="I183" s="11"/>
      <c r="J183" s="11"/>
      <c r="K183" s="11"/>
      <c r="L183" s="11"/>
      <c r="M183" s="11"/>
      <c r="N183" s="11"/>
      <c r="O183" s="11"/>
      <c r="P183" s="11"/>
      <c r="Q183" s="11"/>
    </row>
    <row r="184" ht="12.75" customHeight="1" hidden="1">
      <c r="A184" s="11"/>
      <c r="B184" s="11"/>
      <c r="C184" s="11"/>
      <c r="D184" s="11"/>
      <c r="E184" s="11"/>
      <c r="F184" s="11"/>
      <c r="G184" s="11"/>
      <c r="H184" s="11"/>
      <c r="I184" s="11"/>
      <c r="J184" s="11"/>
      <c r="K184" s="11"/>
      <c r="L184" s="11"/>
      <c r="M184" s="11"/>
      <c r="N184" s="11"/>
      <c r="O184" s="11"/>
      <c r="P184" s="11"/>
      <c r="Q184" s="11"/>
    </row>
    <row r="185" ht="12.75" customHeight="1" hidden="1">
      <c r="A185" s="11"/>
      <c r="B185" s="11"/>
      <c r="C185" s="11"/>
      <c r="D185" s="11"/>
      <c r="E185" s="11"/>
      <c r="F185" s="11"/>
      <c r="G185" s="11"/>
      <c r="H185" s="11"/>
      <c r="I185" s="11"/>
      <c r="J185" s="11"/>
      <c r="K185" s="11"/>
      <c r="L185" s="11"/>
      <c r="M185" s="11"/>
      <c r="N185" s="11"/>
      <c r="O185" s="11"/>
      <c r="P185" s="11"/>
      <c r="Q185" s="11"/>
    </row>
    <row r="186" ht="12.75" customHeight="1" hidden="1">
      <c r="A186" s="11"/>
      <c r="B186" s="11"/>
      <c r="C186" s="11"/>
      <c r="D186" s="11"/>
      <c r="E186" s="11"/>
      <c r="F186" s="11"/>
      <c r="G186" s="11"/>
      <c r="H186" s="11"/>
      <c r="I186" s="11"/>
      <c r="J186" s="11"/>
      <c r="K186" s="11"/>
      <c r="L186" s="11"/>
      <c r="M186" s="11"/>
      <c r="N186" s="11"/>
      <c r="O186" s="11"/>
      <c r="P186" s="11"/>
      <c r="Q186" s="11"/>
    </row>
    <row r="187" ht="12.75" customHeight="1" hidden="1">
      <c r="A187" s="11"/>
      <c r="B187" s="11"/>
      <c r="C187" s="11"/>
      <c r="D187" s="11"/>
      <c r="E187" s="11"/>
      <c r="F187" s="11"/>
      <c r="G187" s="11"/>
      <c r="H187" s="11"/>
      <c r="I187" s="11"/>
      <c r="J187" s="11"/>
      <c r="K187" s="11"/>
      <c r="L187" s="11"/>
      <c r="M187" s="11"/>
      <c r="N187" s="11"/>
      <c r="O187" s="11"/>
      <c r="P187" s="11"/>
      <c r="Q187" s="11"/>
    </row>
    <row r="188" ht="12.75" customHeight="1" hidden="1">
      <c r="A188" s="11"/>
      <c r="B188" s="11"/>
      <c r="C188" s="11"/>
      <c r="D188" s="11"/>
      <c r="E188" s="11"/>
      <c r="F188" s="11"/>
      <c r="G188" s="11"/>
      <c r="H188" s="11"/>
      <c r="I188" s="11"/>
      <c r="J188" s="11"/>
      <c r="K188" s="11"/>
      <c r="L188" s="11"/>
      <c r="M188" s="11"/>
      <c r="N188" s="11"/>
      <c r="O188" s="11"/>
      <c r="P188" s="11"/>
      <c r="Q188" s="11"/>
    </row>
    <row r="189" ht="12.75" customHeight="1" hidden="1">
      <c r="A189" s="11"/>
      <c r="B189" s="11"/>
      <c r="C189" s="11"/>
      <c r="D189" s="11"/>
      <c r="E189" s="11"/>
      <c r="F189" s="11"/>
      <c r="G189" s="11"/>
      <c r="H189" s="11"/>
      <c r="I189" s="11"/>
      <c r="J189" s="11"/>
      <c r="K189" s="11"/>
      <c r="L189" s="11"/>
      <c r="M189" s="11"/>
      <c r="N189" s="11"/>
      <c r="O189" s="11"/>
      <c r="P189" s="11"/>
      <c r="Q189" s="11"/>
    </row>
    <row r="190" ht="12.75" customHeight="1" hidden="1">
      <c r="A190" s="11"/>
      <c r="B190" s="11"/>
      <c r="C190" s="11"/>
      <c r="D190" s="11"/>
      <c r="E190" s="11"/>
      <c r="F190" s="11"/>
      <c r="G190" s="11"/>
      <c r="H190" s="11"/>
      <c r="I190" s="11"/>
      <c r="J190" s="11"/>
      <c r="K190" s="11"/>
      <c r="L190" s="11"/>
      <c r="M190" s="11"/>
      <c r="N190" s="11"/>
      <c r="O190" s="11"/>
      <c r="P190" s="11"/>
      <c r="Q190" s="11"/>
    </row>
    <row r="191" ht="12.75" customHeight="1" hidden="1">
      <c r="A191" s="11"/>
      <c r="B191" s="11"/>
      <c r="C191" s="11"/>
      <c r="D191" s="11"/>
      <c r="E191" s="11"/>
      <c r="F191" s="11"/>
      <c r="G191" s="11"/>
      <c r="H191" s="11"/>
      <c r="I191" s="11"/>
      <c r="J191" s="11"/>
      <c r="K191" s="11"/>
      <c r="L191" s="11"/>
      <c r="M191" s="11"/>
      <c r="N191" s="11"/>
      <c r="O191" s="11"/>
      <c r="P191" s="11"/>
      <c r="Q191" s="11"/>
    </row>
    <row r="192" ht="12.75" customHeight="1" hidden="1">
      <c r="A192" s="11"/>
      <c r="B192" s="11"/>
      <c r="C192" s="11"/>
      <c r="D192" s="11"/>
      <c r="E192" s="11"/>
      <c r="F192" s="11"/>
      <c r="G192" s="11"/>
      <c r="H192" s="11"/>
      <c r="I192" s="11"/>
      <c r="J192" s="11"/>
      <c r="K192" s="11"/>
      <c r="L192" s="11"/>
      <c r="M192" s="11"/>
      <c r="N192" s="11"/>
      <c r="O192" s="11"/>
      <c r="P192" s="11"/>
      <c r="Q192" s="11"/>
    </row>
    <row r="193" ht="12.75" customHeight="1" hidden="1">
      <c r="A193" s="11"/>
      <c r="B193" s="11"/>
      <c r="C193" s="11"/>
      <c r="D193" s="11"/>
      <c r="E193" s="11"/>
      <c r="F193" s="11"/>
      <c r="G193" s="11"/>
      <c r="H193" s="11"/>
      <c r="I193" s="11"/>
      <c r="J193" s="11"/>
      <c r="K193" s="11"/>
      <c r="L193" s="11"/>
      <c r="M193" s="11"/>
      <c r="N193" s="11"/>
      <c r="O193" s="11"/>
      <c r="P193" s="11"/>
      <c r="Q193" s="11"/>
    </row>
    <row r="194" ht="12.75" customHeight="1" hidden="1">
      <c r="A194" s="11"/>
      <c r="B194" s="11"/>
      <c r="C194" s="11"/>
      <c r="D194" s="11"/>
      <c r="E194" s="11"/>
      <c r="F194" s="11"/>
      <c r="G194" s="11"/>
      <c r="H194" s="11"/>
      <c r="I194" s="11"/>
      <c r="J194" s="11"/>
      <c r="K194" s="11"/>
      <c r="L194" s="11"/>
      <c r="M194" s="11"/>
      <c r="N194" s="11"/>
      <c r="O194" s="11"/>
      <c r="P194" s="11"/>
      <c r="Q194" s="11"/>
    </row>
    <row r="195" ht="12.75" customHeight="1" hidden="1">
      <c r="A195" s="11"/>
      <c r="B195" s="11"/>
      <c r="C195" s="11"/>
      <c r="D195" s="11"/>
      <c r="E195" s="11"/>
      <c r="F195" s="11"/>
      <c r="G195" s="11"/>
      <c r="H195" s="11"/>
      <c r="I195" s="11"/>
      <c r="J195" s="11"/>
      <c r="K195" s="11"/>
      <c r="L195" s="11"/>
      <c r="M195" s="11"/>
      <c r="N195" s="11"/>
      <c r="O195" s="11"/>
      <c r="P195" s="11"/>
      <c r="Q195" s="11"/>
    </row>
    <row r="196" ht="12.75" customHeight="1" hidden="1">
      <c r="A196" s="11"/>
      <c r="B196" s="11"/>
      <c r="C196" s="11"/>
      <c r="D196" s="11"/>
      <c r="E196" s="11"/>
      <c r="F196" s="11"/>
      <c r="G196" s="11"/>
      <c r="H196" s="11"/>
      <c r="I196" s="11"/>
      <c r="J196" s="11"/>
      <c r="K196" s="11"/>
      <c r="L196" s="11"/>
      <c r="M196" s="11"/>
      <c r="N196" s="11"/>
      <c r="O196" s="11"/>
      <c r="P196" s="11"/>
      <c r="Q196" s="11"/>
    </row>
    <row r="197" ht="12.75" customHeight="1" hidden="1">
      <c r="A197" s="11"/>
      <c r="B197" s="11"/>
      <c r="C197" s="11"/>
      <c r="D197" s="11"/>
      <c r="E197" s="11"/>
      <c r="F197" s="11"/>
      <c r="G197" s="11"/>
      <c r="H197" s="11"/>
      <c r="I197" s="11"/>
      <c r="J197" s="11"/>
      <c r="K197" s="11"/>
      <c r="L197" s="11"/>
      <c r="M197" s="11"/>
      <c r="N197" s="11"/>
      <c r="O197" s="11"/>
      <c r="P197" s="11"/>
      <c r="Q197" s="11"/>
    </row>
    <row r="198" ht="12.75" customHeight="1" hidden="1">
      <c r="A198" s="11"/>
      <c r="B198" s="11"/>
      <c r="C198" s="11"/>
      <c r="D198" s="11"/>
      <c r="E198" s="11"/>
      <c r="F198" s="11"/>
      <c r="G198" s="11"/>
      <c r="H198" s="11"/>
      <c r="I198" s="11"/>
      <c r="J198" s="11"/>
      <c r="K198" s="11"/>
      <c r="L198" s="11"/>
      <c r="M198" s="11"/>
      <c r="N198" s="11"/>
      <c r="O198" s="11"/>
      <c r="P198" s="11"/>
      <c r="Q198" s="11"/>
    </row>
    <row r="199" ht="12.75" customHeight="1" hidden="1">
      <c r="A199" s="11"/>
      <c r="B199" s="11"/>
      <c r="C199" s="11"/>
      <c r="D199" s="11"/>
      <c r="E199" s="11"/>
      <c r="F199" s="11"/>
      <c r="G199" s="11"/>
      <c r="H199" s="11"/>
      <c r="I199" s="11"/>
      <c r="J199" s="11"/>
      <c r="K199" s="11"/>
      <c r="L199" s="11"/>
      <c r="M199" s="11"/>
      <c r="N199" s="11"/>
      <c r="O199" s="11"/>
      <c r="P199" s="11"/>
      <c r="Q199" s="11"/>
    </row>
    <row r="200" ht="12.75" customHeight="1" hidden="1">
      <c r="A200" s="11"/>
      <c r="B200" s="11"/>
      <c r="C200" s="11"/>
      <c r="D200" s="11"/>
      <c r="E200" s="11"/>
      <c r="F200" s="11"/>
      <c r="G200" s="11"/>
      <c r="H200" s="11"/>
      <c r="I200" s="11"/>
      <c r="J200" s="11"/>
      <c r="K200" s="11"/>
      <c r="L200" s="11"/>
      <c r="M200" s="11"/>
      <c r="N200" s="11"/>
      <c r="O200" s="11"/>
      <c r="P200" s="11"/>
      <c r="Q200" s="11"/>
    </row>
    <row r="201" ht="12.75" customHeight="1" hidden="1">
      <c r="A201" s="11"/>
      <c r="B201" s="11"/>
      <c r="C201" s="11"/>
      <c r="D201" s="11"/>
      <c r="E201" s="11"/>
      <c r="F201" s="11"/>
      <c r="G201" s="11"/>
      <c r="H201" s="11"/>
      <c r="I201" s="11"/>
      <c r="J201" s="11"/>
      <c r="K201" s="11"/>
      <c r="L201" s="11"/>
      <c r="M201" s="11"/>
      <c r="N201" s="11"/>
      <c r="O201" s="11"/>
      <c r="P201" s="11"/>
      <c r="Q201" s="11"/>
    </row>
    <row r="202" ht="12.75" customHeight="1" hidden="1">
      <c r="A202" s="11"/>
      <c r="B202" s="11"/>
      <c r="C202" s="11"/>
      <c r="D202" s="11"/>
      <c r="E202" s="11"/>
      <c r="F202" s="11"/>
      <c r="G202" s="11"/>
      <c r="H202" s="11"/>
      <c r="I202" s="11"/>
      <c r="J202" s="11"/>
      <c r="K202" s="11"/>
      <c r="L202" s="11"/>
      <c r="M202" s="11"/>
      <c r="N202" s="11"/>
      <c r="O202" s="11"/>
      <c r="P202" s="11"/>
      <c r="Q202" s="11"/>
    </row>
    <row r="203" ht="12.75" customHeight="1" hidden="1">
      <c r="A203" s="11"/>
      <c r="B203" s="11"/>
      <c r="C203" s="11"/>
      <c r="D203" s="11"/>
      <c r="E203" s="11"/>
      <c r="F203" s="11"/>
      <c r="G203" s="11"/>
      <c r="H203" s="11"/>
      <c r="I203" s="11"/>
      <c r="J203" s="11"/>
      <c r="K203" s="11"/>
      <c r="L203" s="11"/>
      <c r="M203" s="11"/>
      <c r="N203" s="11"/>
      <c r="O203" s="11"/>
      <c r="P203" s="11"/>
      <c r="Q203" s="11"/>
    </row>
    <row r="204" ht="12.75" customHeight="1" hidden="1">
      <c r="A204" s="11"/>
      <c r="B204" s="11"/>
      <c r="C204" s="11"/>
      <c r="D204" s="11"/>
      <c r="E204" s="11"/>
      <c r="F204" s="11"/>
      <c r="G204" s="11"/>
      <c r="H204" s="11"/>
      <c r="I204" s="11"/>
      <c r="J204" s="11"/>
      <c r="K204" s="11"/>
      <c r="L204" s="11"/>
      <c r="M204" s="11"/>
      <c r="N204" s="11"/>
      <c r="O204" s="11"/>
      <c r="P204" s="11"/>
      <c r="Q204" s="11"/>
    </row>
    <row r="205" ht="12.75" customHeight="1" hidden="1">
      <c r="A205" s="11"/>
      <c r="B205" s="11"/>
      <c r="C205" s="11"/>
      <c r="D205" s="11"/>
      <c r="E205" s="11"/>
      <c r="F205" s="11"/>
      <c r="G205" s="11"/>
      <c r="H205" s="11"/>
      <c r="I205" s="11"/>
      <c r="J205" s="11"/>
      <c r="K205" s="11"/>
      <c r="L205" s="11"/>
      <c r="M205" s="11"/>
      <c r="N205" s="11"/>
      <c r="O205" s="11"/>
      <c r="P205" s="11"/>
      <c r="Q205" s="11"/>
    </row>
    <row r="206" ht="12.75" customHeight="1" hidden="1">
      <c r="A206" s="11"/>
      <c r="B206" s="11"/>
      <c r="C206" s="11"/>
      <c r="D206" s="11"/>
      <c r="E206" s="11"/>
      <c r="F206" s="11"/>
      <c r="G206" s="11"/>
      <c r="H206" s="11"/>
      <c r="I206" s="11"/>
      <c r="J206" s="11"/>
      <c r="K206" s="11"/>
      <c r="L206" s="11"/>
      <c r="M206" s="11"/>
      <c r="N206" s="11"/>
      <c r="O206" s="11"/>
      <c r="P206" s="11"/>
      <c r="Q206" s="11"/>
    </row>
    <row r="207" ht="12.75" customHeight="1" hidden="1">
      <c r="A207" s="11"/>
      <c r="B207" s="11"/>
      <c r="C207" s="11"/>
      <c r="D207" s="11"/>
      <c r="E207" s="11"/>
      <c r="F207" s="11"/>
      <c r="G207" s="11"/>
      <c r="H207" s="11"/>
      <c r="I207" s="11"/>
      <c r="J207" s="11"/>
      <c r="K207" s="11"/>
      <c r="L207" s="11"/>
      <c r="M207" s="11"/>
      <c r="N207" s="11"/>
      <c r="O207" s="11"/>
      <c r="P207" s="11"/>
      <c r="Q207" s="11"/>
    </row>
    <row r="208" ht="12.75" customHeight="1" hidden="1">
      <c r="A208" s="11"/>
      <c r="B208" s="11"/>
      <c r="C208" s="11"/>
      <c r="D208" s="11"/>
      <c r="E208" s="11"/>
      <c r="F208" s="11"/>
      <c r="G208" s="11"/>
      <c r="H208" s="11"/>
      <c r="I208" s="11"/>
      <c r="J208" s="11"/>
      <c r="K208" s="11"/>
      <c r="L208" s="11"/>
      <c r="M208" s="11"/>
      <c r="N208" s="11"/>
      <c r="O208" s="11"/>
      <c r="P208" s="11"/>
      <c r="Q208" s="11"/>
    </row>
    <row r="209" ht="12.75" customHeight="1" hidden="1">
      <c r="A209" s="11"/>
      <c r="B209" s="11"/>
      <c r="C209" s="11"/>
      <c r="D209" s="11"/>
      <c r="E209" s="11"/>
      <c r="F209" s="11"/>
      <c r="G209" s="11"/>
      <c r="H209" s="11"/>
      <c r="I209" s="11"/>
      <c r="J209" s="11"/>
      <c r="K209" s="11"/>
      <c r="L209" s="11"/>
      <c r="M209" s="11"/>
      <c r="N209" s="11"/>
      <c r="O209" s="11"/>
      <c r="P209" s="11"/>
      <c r="Q209" s="11"/>
    </row>
    <row r="210" ht="12.75" customHeight="1" hidden="1">
      <c r="A210" s="11"/>
      <c r="B210" s="11"/>
      <c r="C210" s="11"/>
      <c r="D210" s="11"/>
      <c r="E210" s="11"/>
      <c r="F210" s="11"/>
      <c r="G210" s="11"/>
      <c r="H210" s="11"/>
      <c r="I210" s="11"/>
      <c r="J210" s="11"/>
      <c r="K210" s="11"/>
      <c r="L210" s="11"/>
      <c r="M210" s="11"/>
      <c r="N210" s="11"/>
      <c r="O210" s="11"/>
      <c r="P210" s="11"/>
      <c r="Q210" s="11"/>
    </row>
    <row r="211" ht="12.75" customHeight="1" hidden="1">
      <c r="A211" s="11"/>
      <c r="B211" s="11"/>
      <c r="C211" s="11"/>
      <c r="D211" s="11"/>
      <c r="E211" s="11"/>
      <c r="F211" s="11"/>
      <c r="G211" s="11"/>
      <c r="H211" s="11"/>
      <c r="I211" s="11"/>
      <c r="J211" s="11"/>
      <c r="K211" s="11"/>
      <c r="L211" s="11"/>
      <c r="M211" s="11"/>
      <c r="N211" s="11"/>
      <c r="O211" s="11"/>
      <c r="P211" s="11"/>
      <c r="Q211" s="11"/>
    </row>
    <row r="212" ht="12.75" customHeight="1" hidden="1">
      <c r="A212" s="11"/>
      <c r="B212" s="11"/>
      <c r="C212" s="11"/>
      <c r="D212" s="11"/>
      <c r="E212" s="11"/>
      <c r="F212" s="11"/>
      <c r="G212" s="11"/>
      <c r="H212" s="11"/>
      <c r="I212" s="11"/>
      <c r="J212" s="11"/>
      <c r="K212" s="11"/>
      <c r="L212" s="11"/>
      <c r="M212" s="11"/>
      <c r="N212" s="11"/>
      <c r="O212" s="11"/>
      <c r="P212" s="11"/>
      <c r="Q212" s="11"/>
    </row>
    <row r="213" ht="12.75" customHeight="1" hidden="1">
      <c r="A213" s="11"/>
      <c r="B213" s="11"/>
      <c r="C213" s="11"/>
      <c r="D213" s="11"/>
      <c r="E213" s="11"/>
      <c r="F213" s="11"/>
      <c r="G213" s="11"/>
      <c r="H213" s="11"/>
      <c r="I213" s="11"/>
      <c r="J213" s="11"/>
      <c r="K213" s="11"/>
      <c r="L213" s="11"/>
      <c r="M213" s="11"/>
      <c r="N213" s="11"/>
      <c r="O213" s="11"/>
      <c r="P213" s="11"/>
      <c r="Q213" s="11"/>
    </row>
    <row r="214" ht="12.75" customHeight="1" hidden="1">
      <c r="A214" s="11"/>
      <c r="B214" s="11"/>
      <c r="C214" s="11"/>
      <c r="D214" s="11"/>
      <c r="E214" s="11"/>
      <c r="F214" s="11"/>
      <c r="G214" s="11"/>
      <c r="H214" s="11"/>
      <c r="I214" s="11"/>
      <c r="J214" s="11"/>
      <c r="K214" s="11"/>
      <c r="L214" s="11"/>
      <c r="M214" s="11"/>
      <c r="N214" s="11"/>
      <c r="O214" s="11"/>
      <c r="P214" s="11"/>
      <c r="Q214" s="11"/>
    </row>
    <row r="215" ht="12.75" customHeight="1" hidden="1">
      <c r="A215" s="11"/>
      <c r="B215" s="11"/>
      <c r="C215" s="11"/>
      <c r="D215" s="11"/>
      <c r="E215" s="11"/>
      <c r="F215" s="11"/>
      <c r="G215" s="11"/>
      <c r="H215" s="11"/>
      <c r="I215" s="11"/>
      <c r="J215" s="11"/>
      <c r="K215" s="11"/>
      <c r="L215" s="11"/>
      <c r="M215" s="11"/>
      <c r="N215" s="11"/>
      <c r="O215" s="11"/>
      <c r="P215" s="11"/>
      <c r="Q215" s="11"/>
    </row>
    <row r="216" ht="12.75" customHeight="1" hidden="1">
      <c r="A216" s="11"/>
      <c r="B216" s="11"/>
      <c r="C216" s="11"/>
      <c r="D216" s="11"/>
      <c r="E216" s="11"/>
      <c r="F216" s="11"/>
      <c r="G216" s="11"/>
      <c r="H216" s="11"/>
      <c r="I216" s="11"/>
      <c r="J216" s="11"/>
      <c r="K216" s="11"/>
      <c r="L216" s="11"/>
      <c r="M216" s="11"/>
      <c r="N216" s="11"/>
      <c r="O216" s="11"/>
      <c r="P216" s="11"/>
      <c r="Q216" s="11"/>
    </row>
    <row r="217" ht="12.75" customHeight="1" hidden="1">
      <c r="A217" s="11"/>
      <c r="B217" s="11"/>
      <c r="C217" s="11"/>
      <c r="D217" s="11"/>
      <c r="E217" s="11"/>
      <c r="F217" s="11"/>
      <c r="G217" s="11"/>
      <c r="H217" s="11"/>
      <c r="I217" s="11"/>
      <c r="J217" s="11"/>
      <c r="K217" s="11"/>
      <c r="L217" s="11"/>
      <c r="M217" s="11"/>
      <c r="N217" s="11"/>
      <c r="O217" s="11"/>
      <c r="P217" s="11"/>
      <c r="Q217" s="11"/>
    </row>
    <row r="218" ht="12.75" customHeight="1" hidden="1">
      <c r="A218" s="11"/>
      <c r="B218" s="11"/>
      <c r="C218" s="11"/>
      <c r="D218" s="11"/>
      <c r="E218" s="11"/>
      <c r="F218" s="11"/>
      <c r="G218" s="11"/>
      <c r="H218" s="11"/>
      <c r="I218" s="11"/>
      <c r="J218" s="11"/>
      <c r="K218" s="11"/>
      <c r="L218" s="11"/>
      <c r="M218" s="11"/>
      <c r="N218" s="11"/>
      <c r="O218" s="11"/>
      <c r="P218" s="11"/>
      <c r="Q218" s="11"/>
    </row>
    <row r="219" ht="12.75" customHeight="1" hidden="1">
      <c r="A219" s="11"/>
      <c r="B219" s="11"/>
      <c r="C219" s="11"/>
      <c r="D219" s="11"/>
      <c r="E219" s="11"/>
      <c r="F219" s="11"/>
      <c r="G219" s="11"/>
      <c r="H219" s="11"/>
      <c r="I219" s="11"/>
      <c r="J219" s="11"/>
      <c r="K219" s="11"/>
      <c r="L219" s="11"/>
      <c r="M219" s="11"/>
      <c r="N219" s="11"/>
      <c r="O219" s="11"/>
      <c r="P219" s="11"/>
      <c r="Q219" s="11"/>
    </row>
    <row r="220" ht="12.75" customHeight="1" hidden="1">
      <c r="A220" s="11"/>
      <c r="B220" s="11"/>
      <c r="C220" s="11"/>
      <c r="D220" s="11"/>
      <c r="E220" s="11"/>
      <c r="F220" s="11"/>
      <c r="G220" s="11"/>
      <c r="H220" s="11"/>
      <c r="I220" s="11"/>
      <c r="J220" s="11"/>
      <c r="K220" s="11"/>
      <c r="L220" s="11"/>
      <c r="M220" s="11"/>
      <c r="N220" s="11"/>
      <c r="O220" s="11"/>
      <c r="P220" s="11"/>
      <c r="Q220" s="11"/>
    </row>
    <row r="221" ht="12.75" customHeight="1" hidden="1">
      <c r="A221" s="11"/>
      <c r="B221" s="11"/>
      <c r="C221" s="11"/>
      <c r="D221" s="11"/>
      <c r="E221" s="11"/>
      <c r="F221" s="11"/>
      <c r="G221" s="11"/>
      <c r="H221" s="11"/>
      <c r="I221" s="11"/>
      <c r="J221" s="11"/>
      <c r="K221" s="11"/>
      <c r="L221" s="11"/>
      <c r="M221" s="11"/>
      <c r="N221" s="11"/>
      <c r="O221" s="11"/>
      <c r="P221" s="11"/>
      <c r="Q221" s="11"/>
    </row>
    <row r="222" ht="12.75" customHeight="1" hidden="1">
      <c r="A222" s="11"/>
      <c r="B222" s="11"/>
      <c r="C222" s="11"/>
      <c r="D222" s="11"/>
      <c r="E222" s="11"/>
      <c r="F222" s="11"/>
      <c r="G222" s="11"/>
      <c r="H222" s="11"/>
      <c r="I222" s="11"/>
      <c r="J222" s="11"/>
      <c r="K222" s="11"/>
      <c r="L222" s="11"/>
      <c r="M222" s="11"/>
      <c r="N222" s="11"/>
      <c r="O222" s="11"/>
      <c r="P222" s="11"/>
      <c r="Q222" s="11"/>
    </row>
    <row r="223" ht="12.75" customHeight="1" hidden="1">
      <c r="A223" s="11"/>
      <c r="B223" s="11"/>
      <c r="C223" s="11"/>
      <c r="D223" s="11"/>
      <c r="E223" s="11"/>
      <c r="F223" s="11"/>
      <c r="G223" s="11"/>
      <c r="H223" s="11"/>
      <c r="I223" s="11"/>
      <c r="J223" s="11"/>
      <c r="K223" s="11"/>
      <c r="L223" s="11"/>
      <c r="M223" s="11"/>
      <c r="N223" s="11"/>
      <c r="O223" s="11"/>
      <c r="P223" s="11"/>
      <c r="Q223" s="11"/>
    </row>
    <row r="224" ht="12.75" customHeight="1" hidden="1">
      <c r="A224" s="11"/>
      <c r="B224" s="11"/>
      <c r="C224" s="11"/>
      <c r="D224" s="11"/>
      <c r="E224" s="11"/>
      <c r="F224" s="11"/>
      <c r="G224" s="11"/>
      <c r="H224" s="11"/>
      <c r="I224" s="11"/>
      <c r="J224" s="11"/>
      <c r="K224" s="11"/>
      <c r="L224" s="11"/>
      <c r="M224" s="11"/>
      <c r="N224" s="11"/>
      <c r="O224" s="11"/>
      <c r="P224" s="11"/>
      <c r="Q224" s="11"/>
    </row>
    <row r="225" ht="12.75" customHeight="1" hidden="1">
      <c r="A225" s="11"/>
      <c r="B225" s="11"/>
      <c r="C225" s="11"/>
      <c r="D225" s="11"/>
      <c r="E225" s="11"/>
      <c r="F225" s="11"/>
      <c r="G225" s="11"/>
      <c r="H225" s="11"/>
      <c r="I225" s="11"/>
      <c r="J225" s="11"/>
      <c r="K225" s="11"/>
      <c r="L225" s="11"/>
      <c r="M225" s="11"/>
      <c r="N225" s="11"/>
      <c r="O225" s="11"/>
      <c r="P225" s="11"/>
      <c r="Q225" s="11"/>
    </row>
    <row r="226" ht="12.75" customHeight="1" hidden="1">
      <c r="A226" s="11"/>
      <c r="B226" s="11"/>
      <c r="C226" s="11"/>
      <c r="D226" s="11"/>
      <c r="E226" s="11"/>
      <c r="F226" s="11"/>
      <c r="G226" s="11"/>
      <c r="H226" s="11"/>
      <c r="I226" s="11"/>
      <c r="J226" s="11"/>
      <c r="K226" s="11"/>
      <c r="L226" s="11"/>
      <c r="M226" s="11"/>
      <c r="N226" s="11"/>
      <c r="O226" s="11"/>
      <c r="P226" s="11"/>
      <c r="Q226" s="11"/>
    </row>
    <row r="227" ht="12.75" customHeight="1" hidden="1">
      <c r="A227" s="11"/>
      <c r="B227" s="11"/>
      <c r="C227" s="11"/>
      <c r="D227" s="11"/>
      <c r="E227" s="11"/>
      <c r="F227" s="11"/>
      <c r="G227" s="11"/>
      <c r="H227" s="11"/>
      <c r="I227" s="11"/>
      <c r="J227" s="11"/>
      <c r="K227" s="11"/>
      <c r="L227" s="11"/>
      <c r="M227" s="11"/>
      <c r="N227" s="11"/>
      <c r="O227" s="11"/>
      <c r="P227" s="11"/>
      <c r="Q227" s="11"/>
    </row>
    <row r="228" ht="12.75" customHeight="1" hidden="1">
      <c r="A228" s="11"/>
      <c r="B228" s="11"/>
      <c r="C228" s="11"/>
      <c r="D228" s="11"/>
      <c r="E228" s="11"/>
      <c r="F228" s="11"/>
      <c r="G228" s="11"/>
      <c r="H228" s="11"/>
      <c r="I228" s="11"/>
      <c r="J228" s="11"/>
      <c r="K228" s="11"/>
      <c r="L228" s="11"/>
      <c r="M228" s="11"/>
      <c r="N228" s="11"/>
      <c r="O228" s="11"/>
      <c r="P228" s="11"/>
      <c r="Q228" s="11"/>
    </row>
    <row r="229" ht="12.75" customHeight="1" hidden="1">
      <c r="A229" s="11"/>
      <c r="B229" s="11"/>
      <c r="C229" s="11"/>
      <c r="D229" s="11"/>
      <c r="E229" s="11"/>
      <c r="F229" s="11"/>
      <c r="G229" s="11"/>
      <c r="H229" s="11"/>
      <c r="I229" s="11"/>
      <c r="J229" s="11"/>
      <c r="K229" s="11"/>
      <c r="L229" s="11"/>
      <c r="M229" s="11"/>
      <c r="N229" s="11"/>
      <c r="O229" s="11"/>
      <c r="P229" s="11"/>
      <c r="Q229" s="11"/>
    </row>
    <row r="230" ht="12.75" customHeight="1" hidden="1">
      <c r="A230" s="11"/>
      <c r="B230" s="11"/>
      <c r="C230" s="11"/>
      <c r="D230" s="11"/>
      <c r="E230" s="11"/>
      <c r="F230" s="11"/>
      <c r="G230" s="11"/>
      <c r="H230" s="11"/>
      <c r="I230" s="11"/>
      <c r="J230" s="11"/>
      <c r="K230" s="11"/>
      <c r="L230" s="11"/>
      <c r="M230" s="11"/>
      <c r="N230" s="11"/>
      <c r="O230" s="11"/>
      <c r="P230" s="11"/>
      <c r="Q230" s="11"/>
    </row>
    <row r="231" ht="12.75" customHeight="1" hidden="1">
      <c r="A231" s="11"/>
      <c r="B231" s="11"/>
      <c r="C231" s="11"/>
      <c r="D231" s="11"/>
      <c r="E231" s="11"/>
      <c r="F231" s="11"/>
      <c r="G231" s="11"/>
      <c r="H231" s="11"/>
      <c r="I231" s="11"/>
      <c r="J231" s="11"/>
      <c r="K231" s="11"/>
      <c r="L231" s="11"/>
      <c r="M231" s="11"/>
      <c r="N231" s="11"/>
      <c r="O231" s="11"/>
      <c r="P231" s="11"/>
      <c r="Q231" s="11"/>
    </row>
    <row r="232" ht="12.75" customHeight="1" hidden="1">
      <c r="A232" s="11"/>
      <c r="B232" s="11"/>
      <c r="C232" s="11"/>
      <c r="D232" s="11"/>
      <c r="E232" s="11"/>
      <c r="F232" s="11"/>
      <c r="G232" s="11"/>
      <c r="H232" s="11"/>
      <c r="I232" s="11"/>
      <c r="J232" s="11"/>
      <c r="K232" s="11"/>
      <c r="L232" s="11"/>
      <c r="M232" s="11"/>
      <c r="N232" s="11"/>
      <c r="O232" s="11"/>
      <c r="P232" s="11"/>
      <c r="Q232" s="11"/>
    </row>
    <row r="233" ht="12.75" customHeight="1" hidden="1">
      <c r="A233" s="11"/>
      <c r="B233" s="11"/>
      <c r="C233" s="11"/>
      <c r="D233" s="11"/>
      <c r="E233" s="11"/>
      <c r="F233" s="11"/>
      <c r="G233" s="11"/>
      <c r="H233" s="11"/>
      <c r="I233" s="11"/>
      <c r="J233" s="11"/>
      <c r="K233" s="11"/>
      <c r="L233" s="11"/>
      <c r="M233" s="11"/>
      <c r="N233" s="11"/>
      <c r="O233" s="11"/>
      <c r="P233" s="11"/>
      <c r="Q233" s="11"/>
    </row>
    <row r="234" ht="12.75" customHeight="1" hidden="1">
      <c r="A234" s="11"/>
      <c r="B234" s="11"/>
      <c r="C234" s="11"/>
      <c r="D234" s="11"/>
      <c r="E234" s="11"/>
      <c r="F234" s="11"/>
      <c r="G234" s="11"/>
      <c r="H234" s="11"/>
      <c r="I234" s="11"/>
      <c r="J234" s="11"/>
      <c r="K234" s="11"/>
      <c r="L234" s="11"/>
      <c r="M234" s="11"/>
      <c r="N234" s="11"/>
      <c r="O234" s="11"/>
      <c r="P234" s="11"/>
      <c r="Q234" s="11"/>
    </row>
    <row r="235" ht="12.75" customHeight="1" hidden="1">
      <c r="A235" s="11"/>
      <c r="B235" s="11"/>
      <c r="C235" s="11"/>
      <c r="D235" s="11"/>
      <c r="E235" s="11"/>
      <c r="F235" s="11"/>
      <c r="G235" s="11"/>
      <c r="H235" s="11"/>
      <c r="I235" s="11"/>
      <c r="J235" s="11"/>
      <c r="K235" s="11"/>
      <c r="L235" s="11"/>
      <c r="M235" s="11"/>
      <c r="N235" s="11"/>
      <c r="O235" s="11"/>
      <c r="P235" s="11"/>
      <c r="Q235" s="11"/>
    </row>
    <row r="236" ht="12.75" customHeight="1" hidden="1">
      <c r="A236" s="11"/>
      <c r="B236" s="11"/>
      <c r="C236" s="11"/>
      <c r="D236" s="11"/>
      <c r="E236" s="11"/>
      <c r="F236" s="11"/>
      <c r="G236" s="11"/>
      <c r="H236" s="11"/>
      <c r="I236" s="11"/>
      <c r="J236" s="11"/>
      <c r="K236" s="11"/>
      <c r="L236" s="11"/>
      <c r="M236" s="11"/>
      <c r="N236" s="11"/>
      <c r="O236" s="11"/>
      <c r="P236" s="11"/>
      <c r="Q236" s="11"/>
    </row>
    <row r="237" ht="12.75" customHeight="1" hidden="1">
      <c r="A237" s="11"/>
      <c r="B237" s="11"/>
      <c r="C237" s="11"/>
      <c r="D237" s="11"/>
      <c r="E237" s="11"/>
      <c r="F237" s="11"/>
      <c r="G237" s="11"/>
      <c r="H237" s="11"/>
      <c r="I237" s="11"/>
      <c r="J237" s="11"/>
      <c r="K237" s="11"/>
      <c r="L237" s="11"/>
      <c r="M237" s="11"/>
      <c r="N237" s="11"/>
      <c r="O237" s="11"/>
      <c r="P237" s="11"/>
      <c r="Q237" s="11"/>
    </row>
    <row r="238" ht="12.75" customHeight="1" hidden="1">
      <c r="A238" s="11"/>
      <c r="B238" s="11"/>
      <c r="C238" s="11"/>
      <c r="D238" s="11"/>
      <c r="E238" s="11"/>
      <c r="F238" s="11"/>
      <c r="G238" s="11"/>
      <c r="H238" s="11"/>
      <c r="I238" s="11"/>
      <c r="J238" s="11"/>
      <c r="K238" s="11"/>
      <c r="L238" s="11"/>
      <c r="M238" s="11"/>
      <c r="N238" s="11"/>
      <c r="O238" s="11"/>
      <c r="P238" s="11"/>
      <c r="Q238" s="11"/>
    </row>
    <row r="239" ht="12.75" customHeight="1" hidden="1">
      <c r="A239" s="11"/>
      <c r="B239" s="11"/>
      <c r="C239" s="11"/>
      <c r="D239" s="11"/>
      <c r="E239" s="11"/>
      <c r="F239" s="11"/>
      <c r="G239" s="11"/>
      <c r="H239" s="11"/>
      <c r="I239" s="11"/>
      <c r="J239" s="11"/>
      <c r="K239" s="11"/>
      <c r="L239" s="11"/>
      <c r="M239" s="11"/>
      <c r="N239" s="11"/>
      <c r="O239" s="11"/>
      <c r="P239" s="11"/>
      <c r="Q239" s="11"/>
    </row>
    <row r="240" ht="12.75" customHeight="1" hidden="1">
      <c r="A240" s="11"/>
      <c r="B240" s="11"/>
      <c r="C240" s="11"/>
      <c r="D240" s="11"/>
      <c r="E240" s="11"/>
      <c r="F240" s="11"/>
      <c r="G240" s="11"/>
      <c r="H240" s="11"/>
      <c r="I240" s="11"/>
      <c r="J240" s="11"/>
      <c r="K240" s="11"/>
      <c r="L240" s="11"/>
      <c r="M240" s="11"/>
      <c r="N240" s="11"/>
      <c r="O240" s="11"/>
      <c r="P240" s="11"/>
      <c r="Q240" s="11"/>
    </row>
    <row r="241" ht="12.75" customHeight="1" hidden="1">
      <c r="A241" s="11"/>
      <c r="B241" s="11"/>
      <c r="C241" s="11"/>
      <c r="D241" s="11"/>
      <c r="E241" s="11"/>
      <c r="F241" s="11"/>
      <c r="G241" s="11"/>
      <c r="H241" s="11"/>
      <c r="I241" s="11"/>
      <c r="J241" s="11"/>
      <c r="K241" s="11"/>
      <c r="L241" s="11"/>
      <c r="M241" s="11"/>
      <c r="N241" s="11"/>
      <c r="O241" s="11"/>
      <c r="P241" s="11"/>
      <c r="Q241" s="11"/>
    </row>
    <row r="242" ht="12.75" customHeight="1" hidden="1">
      <c r="A242" s="11"/>
      <c r="B242" s="11"/>
      <c r="C242" s="11"/>
      <c r="D242" s="11"/>
      <c r="E242" s="11"/>
      <c r="F242" s="11"/>
      <c r="G242" s="11"/>
      <c r="H242" s="11"/>
      <c r="I242" s="11"/>
      <c r="J242" s="11"/>
      <c r="K242" s="11"/>
      <c r="L242" s="11"/>
      <c r="M242" s="11"/>
      <c r="N242" s="11"/>
      <c r="O242" s="11"/>
      <c r="P242" s="11"/>
      <c r="Q242" s="11"/>
    </row>
    <row r="243" ht="12.75" customHeight="1" hidden="1">
      <c r="A243" s="11"/>
      <c r="B243" s="11"/>
      <c r="C243" s="11"/>
      <c r="D243" s="11"/>
      <c r="E243" s="11"/>
      <c r="F243" s="11"/>
      <c r="G243" s="11"/>
      <c r="H243" s="11"/>
      <c r="I243" s="11"/>
      <c r="J243" s="11"/>
      <c r="K243" s="11"/>
      <c r="L243" s="11"/>
      <c r="M243" s="11"/>
      <c r="N243" s="11"/>
      <c r="O243" s="11"/>
      <c r="P243" s="11"/>
      <c r="Q243" s="11"/>
    </row>
    <row r="244" ht="12.75" customHeight="1" hidden="1">
      <c r="A244" s="11"/>
      <c r="B244" s="11"/>
      <c r="C244" s="11"/>
      <c r="D244" s="11"/>
      <c r="E244" s="11"/>
      <c r="F244" s="11"/>
      <c r="G244" s="11"/>
      <c r="H244" s="11"/>
      <c r="I244" s="11"/>
      <c r="J244" s="11"/>
      <c r="K244" s="11"/>
      <c r="L244" s="11"/>
      <c r="M244" s="11"/>
      <c r="N244" s="11"/>
      <c r="O244" s="11"/>
      <c r="P244" s="11"/>
      <c r="Q244" s="11"/>
    </row>
    <row r="245" ht="12.75" customHeight="1" hidden="1">
      <c r="A245" s="11"/>
      <c r="B245" s="11"/>
      <c r="C245" s="11"/>
      <c r="D245" s="11"/>
      <c r="E245" s="11"/>
      <c r="F245" s="11"/>
      <c r="G245" s="11"/>
      <c r="H245" s="11"/>
      <c r="I245" s="11"/>
      <c r="J245" s="11"/>
      <c r="K245" s="11"/>
      <c r="L245" s="11"/>
      <c r="M245" s="11"/>
      <c r="N245" s="11"/>
      <c r="O245" s="11"/>
      <c r="P245" s="11"/>
      <c r="Q245" s="11"/>
    </row>
    <row r="246" ht="12.75" customHeight="1" hidden="1">
      <c r="A246" s="11"/>
      <c r="B246" s="11"/>
      <c r="C246" s="11"/>
      <c r="D246" s="11"/>
      <c r="E246" s="11"/>
      <c r="F246" s="11"/>
      <c r="G246" s="11"/>
      <c r="H246" s="11"/>
      <c r="I246" s="11"/>
      <c r="J246" s="11"/>
      <c r="K246" s="11"/>
      <c r="L246" s="11"/>
      <c r="M246" s="11"/>
      <c r="N246" s="11"/>
      <c r="O246" s="11"/>
      <c r="P246" s="11"/>
      <c r="Q246" s="11"/>
    </row>
    <row r="247" ht="12.75" customHeight="1" hidden="1">
      <c r="A247" s="11"/>
      <c r="B247" s="11"/>
      <c r="C247" s="11"/>
      <c r="D247" s="11"/>
      <c r="E247" s="11"/>
      <c r="F247" s="11"/>
      <c r="G247" s="11"/>
      <c r="H247" s="11"/>
      <c r="I247" s="11"/>
      <c r="J247" s="11"/>
      <c r="K247" s="11"/>
      <c r="L247" s="11"/>
      <c r="M247" s="11"/>
      <c r="N247" s="11"/>
      <c r="O247" s="11"/>
      <c r="P247" s="11"/>
      <c r="Q247" s="11"/>
    </row>
    <row r="248" ht="12.75" customHeight="1" hidden="1">
      <c r="A248" s="11"/>
      <c r="B248" s="11"/>
      <c r="C248" s="11"/>
      <c r="D248" s="11"/>
      <c r="E248" s="11"/>
      <c r="F248" s="11"/>
      <c r="G248" s="11"/>
      <c r="H248" s="11"/>
      <c r="I248" s="11"/>
      <c r="J248" s="11"/>
      <c r="K248" s="11"/>
      <c r="L248" s="11"/>
      <c r="M248" s="11"/>
      <c r="N248" s="11"/>
      <c r="O248" s="11"/>
      <c r="P248" s="11"/>
      <c r="Q248" s="11"/>
    </row>
    <row r="249" ht="12.75" customHeight="1" hidden="1">
      <c r="A249" s="11"/>
      <c r="B249" s="11"/>
      <c r="C249" s="11"/>
      <c r="D249" s="11"/>
      <c r="E249" s="11"/>
      <c r="F249" s="11"/>
      <c r="G249" s="11"/>
      <c r="H249" s="11"/>
      <c r="I249" s="11"/>
      <c r="J249" s="11"/>
      <c r="K249" s="11"/>
      <c r="L249" s="11"/>
      <c r="M249" s="11"/>
      <c r="N249" s="11"/>
      <c r="O249" s="11"/>
      <c r="P249" s="11"/>
      <c r="Q249" s="11"/>
    </row>
    <row r="250" ht="12.75" customHeight="1" hidden="1">
      <c r="A250" s="11"/>
      <c r="B250" s="11"/>
      <c r="C250" s="11"/>
      <c r="D250" s="11"/>
      <c r="E250" s="11"/>
      <c r="F250" s="11"/>
      <c r="G250" s="11"/>
      <c r="H250" s="11"/>
      <c r="I250" s="11"/>
      <c r="J250" s="11"/>
      <c r="K250" s="11"/>
      <c r="L250" s="11"/>
      <c r="M250" s="11"/>
      <c r="N250" s="11"/>
      <c r="O250" s="11"/>
      <c r="P250" s="11"/>
      <c r="Q250" s="11"/>
    </row>
    <row r="251" ht="12.75" customHeight="1" hidden="1">
      <c r="A251" s="11"/>
      <c r="B251" s="11"/>
      <c r="C251" s="11"/>
      <c r="D251" s="11"/>
      <c r="E251" s="11"/>
      <c r="F251" s="11"/>
      <c r="G251" s="11"/>
      <c r="H251" s="11"/>
      <c r="I251" s="11"/>
      <c r="J251" s="11"/>
      <c r="K251" s="11"/>
      <c r="L251" s="11"/>
      <c r="M251" s="11"/>
      <c r="N251" s="11"/>
      <c r="O251" s="11"/>
      <c r="P251" s="11"/>
      <c r="Q251" s="11"/>
    </row>
    <row r="252" ht="12.75" customHeight="1" hidden="1">
      <c r="A252" s="11"/>
      <c r="B252" s="11"/>
      <c r="C252" s="11"/>
      <c r="D252" s="11"/>
      <c r="E252" s="11"/>
      <c r="F252" s="11"/>
      <c r="G252" s="11"/>
      <c r="H252" s="11"/>
      <c r="I252" s="11"/>
      <c r="J252" s="11"/>
      <c r="K252" s="11"/>
      <c r="L252" s="11"/>
      <c r="M252" s="11"/>
      <c r="N252" s="11"/>
      <c r="O252" s="11"/>
      <c r="P252" s="11"/>
      <c r="Q252" s="11"/>
    </row>
    <row r="253" ht="12.75" customHeight="1" hidden="1">
      <c r="A253" s="11"/>
      <c r="B253" s="11"/>
      <c r="C253" s="11"/>
      <c r="D253" s="11"/>
      <c r="E253" s="11"/>
      <c r="F253" s="11"/>
      <c r="G253" s="11"/>
      <c r="H253" s="11"/>
      <c r="I253" s="11"/>
      <c r="J253" s="11"/>
      <c r="K253" s="11"/>
      <c r="L253" s="11"/>
      <c r="M253" s="11"/>
      <c r="N253" s="11"/>
      <c r="O253" s="11"/>
      <c r="P253" s="11"/>
      <c r="Q253" s="11"/>
    </row>
    <row r="254" ht="12.75" customHeight="1" hidden="1">
      <c r="A254" s="11"/>
      <c r="B254" s="11"/>
      <c r="C254" s="11"/>
      <c r="D254" s="11"/>
      <c r="E254" s="11"/>
      <c r="F254" s="11"/>
      <c r="G254" s="11"/>
      <c r="H254" s="11"/>
      <c r="I254" s="11"/>
      <c r="J254" s="11"/>
      <c r="K254" s="11"/>
      <c r="L254" s="11"/>
      <c r="M254" s="11"/>
      <c r="N254" s="11"/>
      <c r="O254" s="11"/>
      <c r="P254" s="11"/>
      <c r="Q254" s="11"/>
    </row>
    <row r="255" ht="12.75" customHeight="1" hidden="1">
      <c r="A255" s="11"/>
      <c r="B255" s="11"/>
      <c r="C255" s="11"/>
      <c r="D255" s="11"/>
      <c r="E255" s="11"/>
      <c r="F255" s="11"/>
      <c r="G255" s="11"/>
      <c r="H255" s="11"/>
      <c r="I255" s="11"/>
      <c r="J255" s="11"/>
      <c r="K255" s="11"/>
      <c r="L255" s="11"/>
      <c r="M255" s="11"/>
      <c r="N255" s="11"/>
      <c r="O255" s="11"/>
      <c r="P255" s="11"/>
      <c r="Q255" s="11"/>
    </row>
    <row r="256" ht="12.75" customHeight="1" hidden="1">
      <c r="A256" s="11"/>
      <c r="B256" s="11"/>
      <c r="C256" s="11"/>
      <c r="D256" s="11"/>
      <c r="E256" s="11"/>
      <c r="F256" s="11"/>
      <c r="G256" s="11"/>
      <c r="H256" s="11"/>
      <c r="I256" s="11"/>
      <c r="J256" s="11"/>
      <c r="K256" s="11"/>
      <c r="L256" s="11"/>
      <c r="M256" s="11"/>
      <c r="N256" s="11"/>
      <c r="O256" s="11"/>
      <c r="P256" s="11"/>
      <c r="Q256" s="11"/>
    </row>
    <row r="257" ht="12.75" customHeight="1" hidden="1">
      <c r="A257" s="11"/>
      <c r="B257" s="11"/>
      <c r="C257" s="11"/>
      <c r="D257" s="11"/>
      <c r="E257" s="11"/>
      <c r="F257" s="11"/>
      <c r="G257" s="11"/>
      <c r="H257" s="11"/>
      <c r="I257" s="11"/>
      <c r="J257" s="11"/>
      <c r="K257" s="11"/>
      <c r="L257" s="11"/>
      <c r="M257" s="11"/>
      <c r="N257" s="11"/>
      <c r="O257" s="11"/>
      <c r="P257" s="11"/>
      <c r="Q257" s="11"/>
    </row>
    <row r="258" ht="12.75" customHeight="1" hidden="1">
      <c r="A258" s="11"/>
      <c r="B258" s="11"/>
      <c r="C258" s="11"/>
      <c r="D258" s="11"/>
      <c r="E258" s="11"/>
      <c r="F258" s="11"/>
      <c r="G258" s="11"/>
      <c r="H258" s="11"/>
      <c r="I258" s="11"/>
      <c r="J258" s="11"/>
      <c r="K258" s="11"/>
      <c r="L258" s="11"/>
      <c r="M258" s="11"/>
      <c r="N258" s="11"/>
      <c r="O258" s="11"/>
      <c r="P258" s="11"/>
      <c r="Q258" s="11"/>
    </row>
    <row r="259" ht="12.75" customHeight="1" hidden="1">
      <c r="A259" s="11"/>
      <c r="B259" s="11"/>
      <c r="C259" s="11"/>
      <c r="D259" s="11"/>
      <c r="E259" s="11"/>
      <c r="F259" s="11"/>
      <c r="G259" s="11"/>
      <c r="H259" s="11"/>
      <c r="I259" s="11"/>
      <c r="J259" s="11"/>
      <c r="K259" s="11"/>
      <c r="L259" s="11"/>
      <c r="M259" s="11"/>
      <c r="N259" s="11"/>
      <c r="O259" s="11"/>
      <c r="P259" s="11"/>
      <c r="Q259" s="11"/>
    </row>
    <row r="260" ht="12.75" customHeight="1" hidden="1">
      <c r="A260" s="11"/>
      <c r="B260" s="11"/>
      <c r="C260" s="11"/>
      <c r="D260" s="11"/>
      <c r="E260" s="11"/>
      <c r="F260" s="11"/>
      <c r="G260" s="11"/>
      <c r="H260" s="11"/>
      <c r="I260" s="11"/>
      <c r="J260" s="11"/>
      <c r="K260" s="11"/>
      <c r="L260" s="11"/>
      <c r="M260" s="11"/>
      <c r="N260" s="11"/>
      <c r="O260" s="11"/>
      <c r="P260" s="11"/>
      <c r="Q260" s="11"/>
    </row>
    <row r="261" ht="12.75" customHeight="1" hidden="1">
      <c r="A261" s="11"/>
      <c r="B261" s="11"/>
      <c r="C261" s="11"/>
      <c r="D261" s="11"/>
      <c r="E261" s="11"/>
      <c r="F261" s="11"/>
      <c r="G261" s="11"/>
      <c r="H261" s="11"/>
      <c r="I261" s="11"/>
      <c r="J261" s="11"/>
      <c r="K261" s="11"/>
      <c r="L261" s="11"/>
      <c r="M261" s="11"/>
      <c r="N261" s="11"/>
      <c r="O261" s="11"/>
      <c r="P261" s="11"/>
      <c r="Q261" s="11"/>
    </row>
    <row r="262" ht="12.75" customHeight="1" hidden="1">
      <c r="A262" s="11"/>
      <c r="B262" s="11"/>
      <c r="C262" s="11"/>
      <c r="D262" s="11"/>
      <c r="E262" s="11"/>
      <c r="F262" s="11"/>
      <c r="G262" s="11"/>
      <c r="H262" s="11"/>
      <c r="I262" s="11"/>
      <c r="J262" s="11"/>
      <c r="K262" s="11"/>
      <c r="L262" s="11"/>
      <c r="M262" s="11"/>
      <c r="N262" s="11"/>
      <c r="O262" s="11"/>
      <c r="P262" s="11"/>
      <c r="Q262" s="11"/>
    </row>
    <row r="263" ht="12.75" customHeight="1" hidden="1">
      <c r="A263" s="11"/>
      <c r="B263" s="11"/>
      <c r="C263" s="11"/>
      <c r="D263" s="11"/>
      <c r="E263" s="11"/>
      <c r="F263" s="11"/>
      <c r="G263" s="11"/>
      <c r="H263" s="11"/>
      <c r="I263" s="11"/>
      <c r="J263" s="11"/>
      <c r="K263" s="11"/>
      <c r="L263" s="11"/>
      <c r="M263" s="11"/>
      <c r="N263" s="11"/>
      <c r="O263" s="11"/>
      <c r="P263" s="11"/>
      <c r="Q263" s="11"/>
    </row>
    <row r="264" ht="12.75" customHeight="1" hidden="1">
      <c r="A264" s="11"/>
      <c r="B264" s="11"/>
      <c r="C264" s="11"/>
      <c r="D264" s="11"/>
      <c r="E264" s="11"/>
      <c r="F264" s="11"/>
      <c r="G264" s="11"/>
      <c r="H264" s="11"/>
      <c r="I264" s="11"/>
      <c r="J264" s="11"/>
      <c r="K264" s="11"/>
      <c r="L264" s="11"/>
      <c r="M264" s="11"/>
      <c r="N264" s="11"/>
      <c r="O264" s="11"/>
      <c r="P264" s="11"/>
      <c r="Q264" s="11"/>
    </row>
    <row r="265" ht="12.75" customHeight="1" hidden="1">
      <c r="A265" s="11"/>
      <c r="B265" s="11"/>
      <c r="C265" s="11"/>
      <c r="D265" s="11"/>
      <c r="E265" s="11"/>
      <c r="F265" s="11"/>
      <c r="G265" s="11"/>
      <c r="H265" s="11"/>
      <c r="I265" s="11"/>
      <c r="J265" s="11"/>
      <c r="K265" s="11"/>
      <c r="L265" s="11"/>
      <c r="M265" s="11"/>
      <c r="N265" s="11"/>
      <c r="O265" s="11"/>
      <c r="P265" s="11"/>
      <c r="Q265" s="11"/>
    </row>
    <row r="266" ht="12.75" customHeight="1" hidden="1">
      <c r="A266" s="11"/>
      <c r="B266" s="11"/>
      <c r="C266" s="11"/>
      <c r="D266" s="11"/>
      <c r="E266" s="11"/>
      <c r="F266" s="11"/>
      <c r="G266" s="11"/>
      <c r="H266" s="11"/>
      <c r="I266" s="11"/>
      <c r="J266" s="11"/>
      <c r="K266" s="11"/>
      <c r="L266" s="11"/>
      <c r="M266" s="11"/>
      <c r="N266" s="11"/>
      <c r="O266" s="11"/>
      <c r="P266" s="11"/>
      <c r="Q266" s="11"/>
    </row>
    <row r="267" ht="12.75" customHeight="1" hidden="1">
      <c r="A267" s="11"/>
      <c r="B267" s="11"/>
      <c r="C267" s="11"/>
      <c r="D267" s="11"/>
      <c r="E267" s="11"/>
      <c r="F267" s="11"/>
      <c r="G267" s="11"/>
      <c r="H267" s="11"/>
      <c r="I267" s="11"/>
      <c r="J267" s="11"/>
      <c r="K267" s="11"/>
      <c r="L267" s="11"/>
      <c r="M267" s="11"/>
      <c r="N267" s="11"/>
      <c r="O267" s="11"/>
      <c r="P267" s="11"/>
      <c r="Q267" s="11"/>
    </row>
    <row r="268" ht="12.75" customHeight="1" hidden="1">
      <c r="A268" s="11"/>
      <c r="B268" s="11"/>
      <c r="C268" s="11"/>
      <c r="D268" s="11"/>
      <c r="E268" s="11"/>
      <c r="F268" s="11"/>
      <c r="G268" s="11"/>
      <c r="H268" s="11"/>
      <c r="I268" s="11"/>
      <c r="J268" s="11"/>
      <c r="K268" s="11"/>
      <c r="L268" s="11"/>
      <c r="M268" s="11"/>
      <c r="N268" s="11"/>
      <c r="O268" s="11"/>
      <c r="P268" s="11"/>
      <c r="Q268" s="11"/>
    </row>
    <row r="269" ht="12.75" customHeight="1" hidden="1">
      <c r="A269" s="11"/>
      <c r="B269" s="11"/>
      <c r="C269" s="11"/>
      <c r="D269" s="11"/>
      <c r="E269" s="11"/>
      <c r="F269" s="11"/>
      <c r="G269" s="11"/>
      <c r="H269" s="11"/>
      <c r="I269" s="11"/>
      <c r="J269" s="11"/>
      <c r="K269" s="11"/>
      <c r="L269" s="11"/>
      <c r="M269" s="11"/>
      <c r="N269" s="11"/>
      <c r="O269" s="11"/>
      <c r="P269" s="11"/>
      <c r="Q269" s="11"/>
    </row>
    <row r="270" ht="12.75" customHeight="1" hidden="1">
      <c r="A270" s="11"/>
      <c r="B270" s="11"/>
      <c r="C270" s="11"/>
      <c r="D270" s="11"/>
      <c r="E270" s="11"/>
      <c r="F270" s="11"/>
      <c r="G270" s="11"/>
      <c r="H270" s="11"/>
      <c r="I270" s="11"/>
      <c r="J270" s="11"/>
      <c r="K270" s="11"/>
      <c r="L270" s="11"/>
      <c r="M270" s="11"/>
      <c r="N270" s="11"/>
      <c r="O270" s="11"/>
      <c r="P270" s="11"/>
      <c r="Q270" s="11"/>
    </row>
    <row r="271" ht="12.75" customHeight="1" hidden="1">
      <c r="A271" s="11"/>
      <c r="B271" s="11"/>
      <c r="C271" s="11"/>
      <c r="D271" s="11"/>
      <c r="E271" s="11"/>
      <c r="F271" s="11"/>
      <c r="G271" s="11"/>
      <c r="H271" s="11"/>
      <c r="I271" s="11"/>
      <c r="J271" s="11"/>
      <c r="K271" s="11"/>
      <c r="L271" s="11"/>
      <c r="M271" s="11"/>
      <c r="N271" s="11"/>
      <c r="O271" s="11"/>
      <c r="P271" s="11"/>
      <c r="Q271" s="11"/>
    </row>
    <row r="272" ht="12.75" customHeight="1" hidden="1">
      <c r="A272" s="11"/>
      <c r="B272" s="11"/>
      <c r="C272" s="11"/>
      <c r="D272" s="11"/>
      <c r="E272" s="11"/>
      <c r="F272" s="11"/>
      <c r="G272" s="11"/>
      <c r="H272" s="11"/>
      <c r="I272" s="11"/>
      <c r="J272" s="11"/>
      <c r="K272" s="11"/>
      <c r="L272" s="11"/>
      <c r="M272" s="11"/>
      <c r="N272" s="11"/>
      <c r="O272" s="11"/>
      <c r="P272" s="11"/>
      <c r="Q272" s="11"/>
    </row>
    <row r="273" ht="12.75" customHeight="1" hidden="1">
      <c r="A273" s="11"/>
      <c r="B273" s="11"/>
      <c r="C273" s="11"/>
      <c r="D273" s="11"/>
      <c r="E273" s="11"/>
      <c r="F273" s="11"/>
      <c r="G273" s="11"/>
      <c r="H273" s="11"/>
      <c r="I273" s="11"/>
      <c r="J273" s="11"/>
      <c r="K273" s="11"/>
      <c r="L273" s="11"/>
      <c r="M273" s="11"/>
      <c r="N273" s="11"/>
      <c r="O273" s="11"/>
      <c r="P273" s="11"/>
      <c r="Q273" s="11"/>
    </row>
    <row r="274" ht="12.75" customHeight="1" hidden="1">
      <c r="A274" s="11"/>
      <c r="B274" s="11"/>
      <c r="C274" s="11"/>
      <c r="D274" s="11"/>
      <c r="E274" s="11"/>
      <c r="F274" s="11"/>
      <c r="G274" s="11"/>
      <c r="H274" s="11"/>
      <c r="I274" s="11"/>
      <c r="J274" s="11"/>
      <c r="K274" s="11"/>
      <c r="L274" s="11"/>
      <c r="M274" s="11"/>
      <c r="N274" s="11"/>
      <c r="O274" s="11"/>
      <c r="P274" s="11"/>
      <c r="Q274" s="11"/>
    </row>
    <row r="275" ht="12.75" customHeight="1" hidden="1">
      <c r="A275" s="11"/>
      <c r="B275" s="11"/>
      <c r="C275" s="11"/>
      <c r="D275" s="11"/>
      <c r="E275" s="11"/>
      <c r="F275" s="11"/>
      <c r="G275" s="11"/>
      <c r="H275" s="11"/>
      <c r="I275" s="11"/>
      <c r="J275" s="11"/>
      <c r="K275" s="11"/>
      <c r="L275" s="11"/>
      <c r="M275" s="11"/>
      <c r="N275" s="11"/>
      <c r="O275" s="11"/>
      <c r="P275" s="11"/>
      <c r="Q275" s="11"/>
    </row>
    <row r="276" ht="12.75" customHeight="1" hidden="1">
      <c r="A276" s="11"/>
      <c r="B276" s="11"/>
      <c r="C276" s="11"/>
      <c r="D276" s="11"/>
      <c r="E276" s="11"/>
      <c r="F276" s="11"/>
      <c r="G276" s="11"/>
      <c r="H276" s="11"/>
      <c r="I276" s="11"/>
      <c r="J276" s="11"/>
      <c r="K276" s="11"/>
      <c r="L276" s="11"/>
      <c r="M276" s="11"/>
      <c r="N276" s="11"/>
      <c r="O276" s="11"/>
      <c r="P276" s="11"/>
      <c r="Q276" s="11"/>
    </row>
    <row r="277" ht="12.75" customHeight="1" hidden="1">
      <c r="A277" s="11"/>
      <c r="B277" s="11"/>
      <c r="C277" s="11"/>
      <c r="D277" s="11"/>
      <c r="E277" s="11"/>
      <c r="F277" s="11"/>
      <c r="G277" s="11"/>
      <c r="H277" s="11"/>
      <c r="I277" s="11"/>
      <c r="J277" s="11"/>
      <c r="K277" s="11"/>
      <c r="L277" s="11"/>
      <c r="M277" s="11"/>
      <c r="N277" s="11"/>
      <c r="O277" s="11"/>
      <c r="P277" s="11"/>
      <c r="Q277" s="11"/>
    </row>
    <row r="278" ht="12.75" customHeight="1" hidden="1">
      <c r="A278" s="11"/>
      <c r="B278" s="11"/>
      <c r="C278" s="11"/>
      <c r="D278" s="11"/>
      <c r="E278" s="11"/>
      <c r="F278" s="11"/>
      <c r="G278" s="11"/>
      <c r="H278" s="11"/>
      <c r="I278" s="11"/>
      <c r="J278" s="11"/>
      <c r="K278" s="11"/>
      <c r="L278" s="11"/>
      <c r="M278" s="11"/>
      <c r="N278" s="11"/>
      <c r="O278" s="11"/>
      <c r="P278" s="11"/>
      <c r="Q278" s="11"/>
    </row>
    <row r="279" ht="12.75" customHeight="1" hidden="1">
      <c r="A279" s="11"/>
      <c r="B279" s="11"/>
      <c r="C279" s="11"/>
      <c r="D279" s="11"/>
      <c r="E279" s="11"/>
      <c r="F279" s="11"/>
      <c r="G279" s="11"/>
      <c r="H279" s="11"/>
      <c r="I279" s="11"/>
      <c r="J279" s="11"/>
      <c r="K279" s="11"/>
      <c r="L279" s="11"/>
      <c r="M279" s="11"/>
      <c r="N279" s="11"/>
      <c r="O279" s="11"/>
      <c r="P279" s="11"/>
      <c r="Q279" s="11"/>
    </row>
    <row r="280" ht="12.75" customHeight="1" hidden="1">
      <c r="A280" s="11"/>
      <c r="B280" s="11"/>
      <c r="C280" s="11"/>
      <c r="D280" s="11"/>
      <c r="E280" s="11"/>
      <c r="F280" s="11"/>
      <c r="G280" s="11"/>
      <c r="H280" s="11"/>
      <c r="I280" s="11"/>
      <c r="J280" s="11"/>
      <c r="K280" s="11"/>
      <c r="L280" s="11"/>
      <c r="M280" s="11"/>
      <c r="N280" s="11"/>
      <c r="O280" s="11"/>
      <c r="P280" s="11"/>
      <c r="Q280" s="11"/>
    </row>
    <row r="281" ht="12.75" customHeight="1" hidden="1">
      <c r="A281" s="11"/>
      <c r="B281" s="11"/>
      <c r="C281" s="11"/>
      <c r="D281" s="11"/>
      <c r="E281" s="11"/>
      <c r="F281" s="11"/>
      <c r="G281" s="11"/>
      <c r="H281" s="11"/>
      <c r="I281" s="11"/>
      <c r="J281" s="11"/>
      <c r="K281" s="11"/>
      <c r="L281" s="11"/>
      <c r="M281" s="11"/>
      <c r="N281" s="11"/>
      <c r="O281" s="11"/>
      <c r="P281" s="11"/>
      <c r="Q281" s="11"/>
    </row>
    <row r="282" ht="12.75" customHeight="1" hidden="1">
      <c r="A282" s="11"/>
      <c r="B282" s="11"/>
      <c r="C282" s="11"/>
      <c r="D282" s="11"/>
      <c r="E282" s="11"/>
      <c r="F282" s="11"/>
      <c r="G282" s="11"/>
      <c r="H282" s="11"/>
      <c r="I282" s="11"/>
      <c r="J282" s="11"/>
      <c r="K282" s="11"/>
      <c r="L282" s="11"/>
      <c r="M282" s="11"/>
      <c r="N282" s="11"/>
      <c r="O282" s="11"/>
      <c r="P282" s="11"/>
      <c r="Q282" s="11"/>
    </row>
    <row r="283" ht="12.75" customHeight="1" hidden="1">
      <c r="A283" s="11"/>
      <c r="B283" s="11"/>
      <c r="C283" s="11"/>
      <c r="D283" s="11"/>
      <c r="E283" s="11"/>
      <c r="F283" s="11"/>
      <c r="G283" s="11"/>
      <c r="H283" s="11"/>
      <c r="I283" s="11"/>
      <c r="J283" s="11"/>
      <c r="K283" s="11"/>
      <c r="L283" s="11"/>
      <c r="M283" s="11"/>
      <c r="N283" s="11"/>
      <c r="O283" s="11"/>
      <c r="P283" s="11"/>
      <c r="Q283" s="11"/>
    </row>
    <row r="284" ht="12.75" customHeight="1" hidden="1">
      <c r="A284" s="11"/>
      <c r="B284" s="11"/>
      <c r="C284" s="11"/>
      <c r="D284" s="11"/>
      <c r="E284" s="11"/>
      <c r="F284" s="11"/>
      <c r="G284" s="11"/>
      <c r="H284" s="11"/>
      <c r="I284" s="11"/>
      <c r="J284" s="11"/>
      <c r="K284" s="11"/>
      <c r="L284" s="11"/>
      <c r="M284" s="11"/>
      <c r="N284" s="11"/>
      <c r="O284" s="11"/>
      <c r="P284" s="11"/>
      <c r="Q284" s="11"/>
    </row>
    <row r="285" ht="12.75" customHeight="1" hidden="1">
      <c r="A285" s="11"/>
      <c r="B285" s="11"/>
      <c r="C285" s="11"/>
      <c r="D285" s="11"/>
      <c r="E285" s="11"/>
      <c r="F285" s="11"/>
      <c r="G285" s="11"/>
      <c r="H285" s="11"/>
      <c r="I285" s="11"/>
      <c r="J285" s="11"/>
      <c r="K285" s="11"/>
      <c r="L285" s="11"/>
      <c r="M285" s="11"/>
      <c r="N285" s="11"/>
      <c r="O285" s="11"/>
      <c r="P285" s="11"/>
      <c r="Q285" s="11"/>
    </row>
    <row r="286" ht="12.75" customHeight="1" hidden="1">
      <c r="A286" s="11"/>
      <c r="B286" s="11"/>
      <c r="C286" s="11"/>
      <c r="D286" s="11"/>
      <c r="E286" s="11"/>
      <c r="F286" s="11"/>
      <c r="G286" s="11"/>
      <c r="H286" s="11"/>
      <c r="I286" s="11"/>
      <c r="J286" s="11"/>
      <c r="K286" s="11"/>
      <c r="L286" s="11"/>
      <c r="M286" s="11"/>
      <c r="N286" s="11"/>
      <c r="O286" s="11"/>
      <c r="P286" s="11"/>
      <c r="Q286" s="11"/>
    </row>
    <row r="287" ht="12.75" customHeight="1" hidden="1">
      <c r="A287" s="11"/>
      <c r="B287" s="11"/>
      <c r="C287" s="11"/>
      <c r="D287" s="11"/>
      <c r="E287" s="11"/>
      <c r="F287" s="11"/>
      <c r="G287" s="11"/>
      <c r="H287" s="11"/>
      <c r="I287" s="11"/>
      <c r="J287" s="11"/>
      <c r="K287" s="11"/>
      <c r="L287" s="11"/>
      <c r="M287" s="11"/>
      <c r="N287" s="11"/>
      <c r="O287" s="11"/>
      <c r="P287" s="11"/>
      <c r="Q287" s="11"/>
    </row>
    <row r="288" ht="12.75" customHeight="1" hidden="1">
      <c r="A288" s="11"/>
      <c r="B288" s="11"/>
      <c r="C288" s="11"/>
      <c r="D288" s="11"/>
      <c r="E288" s="11"/>
      <c r="F288" s="11"/>
      <c r="G288" s="11"/>
      <c r="H288" s="11"/>
      <c r="I288" s="11"/>
      <c r="J288" s="11"/>
      <c r="K288" s="11"/>
      <c r="L288" s="11"/>
      <c r="M288" s="11"/>
      <c r="N288" s="11"/>
      <c r="O288" s="11"/>
      <c r="P288" s="11"/>
      <c r="Q288" s="11"/>
    </row>
    <row r="289" ht="12.75" customHeight="1" hidden="1">
      <c r="A289" s="11"/>
      <c r="B289" s="11"/>
      <c r="C289" s="11"/>
      <c r="D289" s="11"/>
      <c r="E289" s="11"/>
      <c r="F289" s="11"/>
      <c r="G289" s="11"/>
      <c r="H289" s="11"/>
      <c r="I289" s="11"/>
      <c r="J289" s="11"/>
      <c r="K289" s="11"/>
      <c r="L289" s="11"/>
      <c r="M289" s="11"/>
      <c r="N289" s="11"/>
      <c r="O289" s="11"/>
      <c r="P289" s="11"/>
      <c r="Q289" s="11"/>
    </row>
    <row r="290" ht="12.75" customHeight="1" hidden="1">
      <c r="A290" s="11"/>
      <c r="B290" s="11"/>
      <c r="C290" s="11"/>
      <c r="D290" s="11"/>
      <c r="E290" s="11"/>
      <c r="F290" s="11"/>
      <c r="G290" s="11"/>
      <c r="H290" s="11"/>
      <c r="I290" s="11"/>
      <c r="J290" s="11"/>
      <c r="K290" s="11"/>
      <c r="L290" s="11"/>
      <c r="M290" s="11"/>
      <c r="N290" s="11"/>
      <c r="O290" s="11"/>
      <c r="P290" s="11"/>
      <c r="Q290" s="11"/>
    </row>
    <row r="291" ht="12.75" customHeight="1" hidden="1">
      <c r="A291" s="11"/>
      <c r="B291" s="11"/>
      <c r="C291" s="11"/>
      <c r="D291" s="11"/>
      <c r="E291" s="11"/>
      <c r="F291" s="11"/>
      <c r="G291" s="11"/>
      <c r="H291" s="11"/>
      <c r="I291" s="11"/>
      <c r="J291" s="11"/>
      <c r="K291" s="11"/>
      <c r="L291" s="11"/>
      <c r="M291" s="11"/>
      <c r="N291" s="11"/>
      <c r="O291" s="11"/>
      <c r="P291" s="11"/>
      <c r="Q291" s="11"/>
    </row>
    <row r="292" ht="12.75" customHeight="1" hidden="1">
      <c r="A292" s="11"/>
      <c r="B292" s="11"/>
      <c r="C292" s="11"/>
      <c r="D292" s="11"/>
      <c r="E292" s="11"/>
      <c r="F292" s="11"/>
      <c r="G292" s="11"/>
      <c r="H292" s="11"/>
      <c r="I292" s="11"/>
      <c r="J292" s="11"/>
      <c r="K292" s="11"/>
      <c r="L292" s="11"/>
      <c r="M292" s="11"/>
      <c r="N292" s="11"/>
      <c r="O292" s="11"/>
      <c r="P292" s="11"/>
      <c r="Q292" s="11"/>
    </row>
    <row r="293" ht="12.75" customHeight="1" hidden="1">
      <c r="A293" s="11"/>
      <c r="B293" s="11"/>
      <c r="C293" s="11"/>
      <c r="D293" s="11"/>
      <c r="E293" s="11"/>
      <c r="F293" s="11"/>
      <c r="G293" s="11"/>
      <c r="H293" s="11"/>
      <c r="I293" s="11"/>
      <c r="J293" s="11"/>
      <c r="K293" s="11"/>
      <c r="L293" s="11"/>
      <c r="M293" s="11"/>
      <c r="N293" s="11"/>
      <c r="O293" s="11"/>
      <c r="P293" s="11"/>
      <c r="Q293" s="11"/>
    </row>
    <row r="294" ht="12.75" customHeight="1" hidden="1">
      <c r="A294" s="11"/>
      <c r="B294" s="11"/>
      <c r="C294" s="11"/>
      <c r="D294" s="11"/>
      <c r="E294" s="11"/>
      <c r="F294" s="11"/>
      <c r="G294" s="11"/>
      <c r="H294" s="11"/>
      <c r="I294" s="11"/>
      <c r="J294" s="11"/>
      <c r="K294" s="11"/>
      <c r="L294" s="11"/>
      <c r="M294" s="11"/>
      <c r="N294" s="11"/>
      <c r="O294" s="11"/>
      <c r="P294" s="11"/>
      <c r="Q294" s="11"/>
    </row>
    <row r="295" ht="12.75" customHeight="1" hidden="1">
      <c r="A295" s="11"/>
      <c r="B295" s="11"/>
      <c r="C295" s="11"/>
      <c r="D295" s="11"/>
      <c r="E295" s="11"/>
      <c r="F295" s="11"/>
      <c r="G295" s="11"/>
      <c r="H295" s="11"/>
      <c r="I295" s="11"/>
      <c r="J295" s="11"/>
      <c r="K295" s="11"/>
      <c r="L295" s="11"/>
      <c r="M295" s="11"/>
      <c r="N295" s="11"/>
      <c r="O295" s="11"/>
      <c r="P295" s="11"/>
      <c r="Q295" s="11"/>
    </row>
    <row r="296" ht="12.75" customHeight="1" hidden="1">
      <c r="A296" s="11"/>
      <c r="B296" s="11"/>
      <c r="C296" s="11"/>
      <c r="D296" s="11"/>
      <c r="E296" s="11"/>
      <c r="F296" s="11"/>
      <c r="G296" s="11"/>
      <c r="H296" s="11"/>
      <c r="I296" s="11"/>
      <c r="J296" s="11"/>
      <c r="K296" s="11"/>
      <c r="L296" s="11"/>
      <c r="M296" s="11"/>
      <c r="N296" s="11"/>
      <c r="O296" s="11"/>
      <c r="P296" s="11"/>
      <c r="Q296" s="11"/>
    </row>
    <row r="297" ht="12.75" customHeight="1" hidden="1">
      <c r="A297" s="11"/>
      <c r="B297" s="11"/>
      <c r="C297" s="11"/>
      <c r="D297" s="11"/>
      <c r="E297" s="11"/>
      <c r="F297" s="11"/>
      <c r="G297" s="11"/>
      <c r="H297" s="11"/>
      <c r="I297" s="11"/>
      <c r="J297" s="11"/>
      <c r="K297" s="11"/>
      <c r="L297" s="11"/>
      <c r="M297" s="11"/>
      <c r="N297" s="11"/>
      <c r="O297" s="11"/>
      <c r="P297" s="11"/>
      <c r="Q297" s="11"/>
    </row>
    <row r="298" ht="12.75" customHeight="1" hidden="1">
      <c r="A298" s="11"/>
      <c r="B298" s="11"/>
      <c r="C298" s="11"/>
      <c r="D298" s="11"/>
      <c r="E298" s="11"/>
      <c r="F298" s="11"/>
      <c r="G298" s="11"/>
      <c r="H298" s="11"/>
      <c r="I298" s="11"/>
      <c r="J298" s="11"/>
      <c r="K298" s="11"/>
      <c r="L298" s="11"/>
      <c r="M298" s="11"/>
      <c r="N298" s="11"/>
      <c r="O298" s="11"/>
      <c r="P298" s="11"/>
      <c r="Q298" s="11"/>
    </row>
    <row r="299" ht="12.75" customHeight="1" hidden="1">
      <c r="A299" s="11"/>
      <c r="B299" s="11"/>
      <c r="C299" s="11"/>
      <c r="D299" s="11"/>
      <c r="E299" s="11"/>
      <c r="F299" s="11"/>
      <c r="G299" s="11"/>
      <c r="H299" s="11"/>
      <c r="I299" s="11"/>
      <c r="J299" s="11"/>
      <c r="K299" s="11"/>
      <c r="L299" s="11"/>
      <c r="M299" s="11"/>
      <c r="N299" s="11"/>
      <c r="O299" s="11"/>
      <c r="P299" s="11"/>
      <c r="Q299" s="11"/>
    </row>
    <row r="300" ht="12.75" customHeight="1" hidden="1">
      <c r="A300" s="11"/>
      <c r="B300" s="11"/>
      <c r="C300" s="11"/>
      <c r="D300" s="11"/>
      <c r="E300" s="11"/>
      <c r="F300" s="11"/>
      <c r="G300" s="11"/>
      <c r="H300" s="11"/>
      <c r="I300" s="11"/>
      <c r="J300" s="11"/>
      <c r="K300" s="11"/>
      <c r="L300" s="11"/>
      <c r="M300" s="11"/>
      <c r="N300" s="11"/>
      <c r="O300" s="11"/>
      <c r="P300" s="11"/>
      <c r="Q300" s="11"/>
    </row>
    <row r="301" ht="12.75" customHeight="1" hidden="1">
      <c r="A301" s="11"/>
      <c r="B301" s="11"/>
      <c r="C301" s="11"/>
      <c r="D301" s="11"/>
      <c r="E301" s="11"/>
      <c r="F301" s="11"/>
      <c r="G301" s="11"/>
      <c r="H301" s="11"/>
      <c r="I301" s="11"/>
      <c r="J301" s="11"/>
      <c r="K301" s="11"/>
      <c r="L301" s="11"/>
      <c r="M301" s="11"/>
      <c r="N301" s="11"/>
      <c r="O301" s="11"/>
      <c r="P301" s="11"/>
      <c r="Q301" s="11"/>
    </row>
    <row r="302" ht="12.75" customHeight="1" hidden="1">
      <c r="A302" s="11"/>
      <c r="B302" s="11"/>
      <c r="C302" s="11"/>
      <c r="D302" s="11"/>
      <c r="E302" s="11"/>
      <c r="F302" s="11"/>
      <c r="G302" s="11"/>
      <c r="H302" s="11"/>
      <c r="I302" s="11"/>
      <c r="J302" s="11"/>
      <c r="K302" s="11"/>
      <c r="L302" s="11"/>
      <c r="M302" s="11"/>
      <c r="N302" s="11"/>
      <c r="O302" s="11"/>
      <c r="P302" s="11"/>
      <c r="Q302" s="11"/>
    </row>
    <row r="303" ht="12.75" customHeight="1" hidden="1">
      <c r="A303" s="11"/>
      <c r="B303" s="11"/>
      <c r="C303" s="11"/>
      <c r="D303" s="11"/>
      <c r="E303" s="11"/>
      <c r="F303" s="11"/>
      <c r="G303" s="11"/>
      <c r="H303" s="11"/>
      <c r="I303" s="11"/>
      <c r="J303" s="11"/>
      <c r="K303" s="11"/>
      <c r="L303" s="11"/>
      <c r="M303" s="11"/>
      <c r="N303" s="11"/>
      <c r="O303" s="11"/>
      <c r="P303" s="11"/>
      <c r="Q303" s="11"/>
    </row>
    <row r="304" ht="12.75" customHeight="1" hidden="1">
      <c r="A304" s="11"/>
      <c r="B304" s="11"/>
      <c r="C304" s="11"/>
      <c r="D304" s="11"/>
      <c r="E304" s="11"/>
      <c r="F304" s="11"/>
      <c r="G304" s="11"/>
      <c r="H304" s="11"/>
      <c r="I304" s="11"/>
      <c r="J304" s="11"/>
      <c r="K304" s="11"/>
      <c r="L304" s="11"/>
      <c r="M304" s="11"/>
      <c r="N304" s="11"/>
      <c r="O304" s="11"/>
      <c r="P304" s="11"/>
      <c r="Q304" s="11"/>
    </row>
    <row r="305" ht="12.75" customHeight="1" hidden="1">
      <c r="A305" s="11"/>
      <c r="B305" s="11"/>
      <c r="C305" s="11"/>
      <c r="D305" s="11"/>
      <c r="E305" s="11"/>
      <c r="F305" s="11"/>
      <c r="G305" s="11"/>
      <c r="H305" s="11"/>
      <c r="I305" s="11"/>
      <c r="J305" s="11"/>
      <c r="K305" s="11"/>
      <c r="L305" s="11"/>
      <c r="M305" s="11"/>
      <c r="N305" s="11"/>
      <c r="O305" s="11"/>
      <c r="P305" s="11"/>
      <c r="Q305" s="11"/>
    </row>
    <row r="306" ht="12.75" customHeight="1" hidden="1">
      <c r="A306" s="11"/>
      <c r="B306" s="11"/>
      <c r="C306" s="11"/>
      <c r="D306" s="11"/>
      <c r="E306" s="11"/>
      <c r="F306" s="11"/>
      <c r="G306" s="11"/>
      <c r="H306" s="11"/>
      <c r="I306" s="11"/>
      <c r="J306" s="11"/>
      <c r="K306" s="11"/>
      <c r="L306" s="11"/>
      <c r="M306" s="11"/>
      <c r="N306" s="11"/>
      <c r="O306" s="11"/>
      <c r="P306" s="11"/>
      <c r="Q306" s="11"/>
    </row>
    <row r="307" ht="12.75" customHeight="1" hidden="1">
      <c r="A307" s="11"/>
      <c r="B307" s="11"/>
      <c r="C307" s="11"/>
      <c r="D307" s="11"/>
      <c r="E307" s="11"/>
      <c r="F307" s="11"/>
      <c r="G307" s="11"/>
      <c r="H307" s="11"/>
      <c r="I307" s="11"/>
      <c r="J307" s="11"/>
      <c r="K307" s="11"/>
      <c r="L307" s="11"/>
      <c r="M307" s="11"/>
      <c r="N307" s="11"/>
      <c r="O307" s="11"/>
      <c r="P307" s="11"/>
      <c r="Q307" s="11"/>
    </row>
    <row r="308" ht="12.75" customHeight="1" hidden="1">
      <c r="A308" s="11"/>
      <c r="B308" s="11"/>
      <c r="C308" s="11"/>
      <c r="D308" s="11"/>
      <c r="E308" s="11"/>
      <c r="F308" s="11"/>
      <c r="G308" s="11"/>
      <c r="H308" s="11"/>
      <c r="I308" s="11"/>
      <c r="J308" s="11"/>
      <c r="K308" s="11"/>
      <c r="L308" s="11"/>
      <c r="M308" s="11"/>
      <c r="N308" s="11"/>
      <c r="O308" s="11"/>
      <c r="P308" s="11"/>
      <c r="Q308" s="11"/>
    </row>
    <row r="309" ht="12.75" customHeight="1" hidden="1">
      <c r="A309" s="11"/>
      <c r="B309" s="11"/>
      <c r="C309" s="11"/>
      <c r="D309" s="11"/>
      <c r="E309" s="11"/>
      <c r="F309" s="11"/>
      <c r="G309" s="11"/>
      <c r="H309" s="11"/>
      <c r="I309" s="11"/>
      <c r="J309" s="11"/>
      <c r="K309" s="11"/>
      <c r="L309" s="11"/>
      <c r="M309" s="11"/>
      <c r="N309" s="11"/>
      <c r="O309" s="11"/>
      <c r="P309" s="11"/>
      <c r="Q309" s="11"/>
    </row>
    <row r="310" ht="12.75" customHeight="1" hidden="1">
      <c r="A310" s="11"/>
      <c r="B310" s="11"/>
      <c r="C310" s="11"/>
      <c r="D310" s="11"/>
      <c r="E310" s="11"/>
      <c r="F310" s="11"/>
      <c r="G310" s="11"/>
      <c r="H310" s="11"/>
      <c r="I310" s="11"/>
      <c r="J310" s="11"/>
      <c r="K310" s="11"/>
      <c r="L310" s="11"/>
      <c r="M310" s="11"/>
      <c r="N310" s="11"/>
      <c r="O310" s="11"/>
      <c r="P310" s="11"/>
      <c r="Q310" s="11"/>
    </row>
    <row r="311" ht="12.75" customHeight="1" hidden="1">
      <c r="A311" s="11"/>
      <c r="B311" s="11"/>
      <c r="C311" s="11"/>
      <c r="D311" s="11"/>
      <c r="E311" s="11"/>
      <c r="F311" s="11"/>
      <c r="G311" s="11"/>
      <c r="H311" s="11"/>
      <c r="I311" s="11"/>
      <c r="J311" s="11"/>
      <c r="K311" s="11"/>
      <c r="L311" s="11"/>
      <c r="M311" s="11"/>
      <c r="N311" s="11"/>
      <c r="O311" s="11"/>
      <c r="P311" s="11"/>
      <c r="Q311" s="11"/>
    </row>
    <row r="312" ht="12.75" customHeight="1" hidden="1">
      <c r="A312" s="11"/>
      <c r="B312" s="11"/>
      <c r="C312" s="11"/>
      <c r="D312" s="11"/>
      <c r="E312" s="11"/>
      <c r="F312" s="11"/>
      <c r="G312" s="11"/>
      <c r="H312" s="11"/>
      <c r="I312" s="11"/>
      <c r="J312" s="11"/>
      <c r="K312" s="11"/>
      <c r="L312" s="11"/>
      <c r="M312" s="11"/>
      <c r="N312" s="11"/>
      <c r="O312" s="11"/>
      <c r="P312" s="11"/>
      <c r="Q312" s="11"/>
    </row>
    <row r="313" ht="12.75" customHeight="1" hidden="1">
      <c r="A313" s="11"/>
      <c r="B313" s="11"/>
      <c r="C313" s="11"/>
      <c r="D313" s="11"/>
      <c r="E313" s="11"/>
      <c r="F313" s="11"/>
      <c r="G313" s="11"/>
      <c r="H313" s="11"/>
      <c r="I313" s="11"/>
      <c r="J313" s="11"/>
      <c r="K313" s="11"/>
      <c r="L313" s="11"/>
      <c r="M313" s="11"/>
      <c r="N313" s="11"/>
      <c r="O313" s="11"/>
      <c r="P313" s="11"/>
      <c r="Q313" s="11"/>
    </row>
    <row r="314" ht="12.75" customHeight="1" hidden="1">
      <c r="A314" s="11"/>
      <c r="B314" s="11"/>
      <c r="C314" s="11"/>
      <c r="D314" s="11"/>
      <c r="E314" s="11"/>
      <c r="F314" s="11"/>
      <c r="G314" s="11"/>
      <c r="H314" s="11"/>
      <c r="I314" s="11"/>
      <c r="J314" s="11"/>
      <c r="K314" s="11"/>
      <c r="L314" s="11"/>
      <c r="M314" s="11"/>
      <c r="N314" s="11"/>
      <c r="O314" s="11"/>
      <c r="P314" s="11"/>
      <c r="Q314" s="11"/>
    </row>
    <row r="315" ht="12.75" customHeight="1" hidden="1">
      <c r="A315" s="11"/>
      <c r="B315" s="11"/>
      <c r="C315" s="11"/>
      <c r="D315" s="11"/>
      <c r="E315" s="11"/>
      <c r="F315" s="11"/>
      <c r="G315" s="11"/>
      <c r="H315" s="11"/>
      <c r="I315" s="11"/>
      <c r="J315" s="11"/>
      <c r="K315" s="11"/>
      <c r="L315" s="11"/>
      <c r="M315" s="11"/>
      <c r="N315" s="11"/>
      <c r="O315" s="11"/>
      <c r="P315" s="11"/>
      <c r="Q315" s="11"/>
    </row>
    <row r="316" ht="12.75" customHeight="1" hidden="1">
      <c r="A316" s="11"/>
      <c r="B316" s="11"/>
      <c r="C316" s="11"/>
      <c r="D316" s="11"/>
      <c r="E316" s="11"/>
      <c r="F316" s="11"/>
      <c r="G316" s="11"/>
      <c r="H316" s="11"/>
      <c r="I316" s="11"/>
      <c r="J316" s="11"/>
      <c r="K316" s="11"/>
      <c r="L316" s="11"/>
      <c r="M316" s="11"/>
      <c r="N316" s="11"/>
      <c r="O316" s="11"/>
      <c r="P316" s="11"/>
      <c r="Q316" s="11"/>
    </row>
    <row r="317" ht="12.75" customHeight="1" hidden="1">
      <c r="A317" s="11"/>
      <c r="B317" s="11"/>
      <c r="C317" s="11"/>
      <c r="D317" s="11"/>
      <c r="E317" s="11"/>
      <c r="F317" s="11"/>
      <c r="G317" s="11"/>
      <c r="H317" s="11"/>
      <c r="I317" s="11"/>
      <c r="J317" s="11"/>
      <c r="K317" s="11"/>
      <c r="L317" s="11"/>
      <c r="M317" s="11"/>
      <c r="N317" s="11"/>
      <c r="O317" s="11"/>
      <c r="P317" s="11"/>
      <c r="Q317" s="11"/>
    </row>
    <row r="318" ht="12.75" customHeight="1" hidden="1">
      <c r="A318" s="11"/>
      <c r="B318" s="11"/>
      <c r="C318" s="11"/>
      <c r="D318" s="11"/>
      <c r="E318" s="11"/>
      <c r="F318" s="11"/>
      <c r="G318" s="11"/>
      <c r="H318" s="11"/>
      <c r="I318" s="11"/>
      <c r="J318" s="11"/>
      <c r="K318" s="11"/>
      <c r="L318" s="11"/>
      <c r="M318" s="11"/>
      <c r="N318" s="11"/>
      <c r="O318" s="11"/>
      <c r="P318" s="11"/>
      <c r="Q318" s="11"/>
    </row>
    <row r="319" ht="12.75" customHeight="1" hidden="1">
      <c r="A319" s="11"/>
      <c r="B319" s="11"/>
      <c r="C319" s="11"/>
      <c r="D319" s="11"/>
      <c r="E319" s="11"/>
      <c r="F319" s="11"/>
      <c r="G319" s="11"/>
      <c r="H319" s="11"/>
      <c r="I319" s="11"/>
      <c r="J319" s="11"/>
      <c r="K319" s="11"/>
      <c r="L319" s="11"/>
      <c r="M319" s="11"/>
      <c r="N319" s="11"/>
      <c r="O319" s="11"/>
      <c r="P319" s="11"/>
      <c r="Q319" s="11"/>
    </row>
    <row r="320" ht="12.75" customHeight="1" hidden="1">
      <c r="A320" s="11"/>
      <c r="B320" s="11"/>
      <c r="C320" s="11"/>
      <c r="D320" s="11"/>
      <c r="E320" s="11"/>
      <c r="F320" s="11"/>
      <c r="G320" s="11"/>
      <c r="H320" s="11"/>
      <c r="I320" s="11"/>
      <c r="J320" s="11"/>
      <c r="K320" s="11"/>
      <c r="L320" s="11"/>
      <c r="M320" s="11"/>
      <c r="N320" s="11"/>
      <c r="O320" s="11"/>
      <c r="P320" s="11"/>
      <c r="Q320" s="11"/>
    </row>
    <row r="321" ht="12.75" customHeight="1" hidden="1">
      <c r="A321" s="11"/>
      <c r="B321" s="11"/>
      <c r="C321" s="11"/>
      <c r="D321" s="11"/>
      <c r="E321" s="11"/>
      <c r="F321" s="11"/>
      <c r="G321" s="11"/>
      <c r="H321" s="11"/>
      <c r="I321" s="11"/>
      <c r="J321" s="11"/>
      <c r="K321" s="11"/>
      <c r="L321" s="11"/>
      <c r="M321" s="11"/>
      <c r="N321" s="11"/>
      <c r="O321" s="11"/>
      <c r="P321" s="11"/>
      <c r="Q321" s="11"/>
    </row>
    <row r="322" ht="12.75" customHeight="1" hidden="1">
      <c r="A322" s="11"/>
      <c r="B322" s="11"/>
      <c r="C322" s="11"/>
      <c r="D322" s="11"/>
      <c r="E322" s="11"/>
      <c r="F322" s="11"/>
      <c r="G322" s="11"/>
      <c r="H322" s="11"/>
      <c r="I322" s="11"/>
      <c r="J322" s="11"/>
      <c r="K322" s="11"/>
      <c r="L322" s="11"/>
      <c r="M322" s="11"/>
      <c r="N322" s="11"/>
      <c r="O322" s="11"/>
      <c r="P322" s="11"/>
      <c r="Q322" s="11"/>
    </row>
    <row r="323" ht="12.75" customHeight="1" hidden="1">
      <c r="A323" s="11"/>
      <c r="B323" s="11"/>
      <c r="C323" s="11"/>
      <c r="D323" s="11"/>
      <c r="E323" s="11"/>
      <c r="F323" s="11"/>
      <c r="G323" s="11"/>
      <c r="H323" s="11"/>
      <c r="I323" s="11"/>
      <c r="J323" s="11"/>
      <c r="K323" s="11"/>
      <c r="L323" s="11"/>
      <c r="M323" s="11"/>
      <c r="N323" s="11"/>
      <c r="O323" s="11"/>
      <c r="P323" s="11"/>
      <c r="Q323" s="11"/>
    </row>
    <row r="324" ht="12.75" customHeight="1" hidden="1">
      <c r="A324" s="11"/>
      <c r="B324" s="11"/>
      <c r="C324" s="11"/>
      <c r="D324" s="11"/>
      <c r="E324" s="11"/>
      <c r="F324" s="11"/>
      <c r="G324" s="11"/>
      <c r="H324" s="11"/>
      <c r="I324" s="11"/>
      <c r="J324" s="11"/>
      <c r="K324" s="11"/>
      <c r="L324" s="11"/>
      <c r="M324" s="11"/>
      <c r="N324" s="11"/>
      <c r="O324" s="11"/>
      <c r="P324" s="11"/>
      <c r="Q324" s="11"/>
    </row>
    <row r="325" ht="12.75" customHeight="1" hidden="1">
      <c r="A325" s="11"/>
      <c r="B325" s="11"/>
      <c r="C325" s="11"/>
      <c r="D325" s="11"/>
      <c r="E325" s="11"/>
      <c r="F325" s="11"/>
      <c r="G325" s="11"/>
      <c r="H325" s="11"/>
      <c r="I325" s="11"/>
      <c r="J325" s="11"/>
      <c r="K325" s="11"/>
      <c r="L325" s="11"/>
      <c r="M325" s="11"/>
      <c r="N325" s="11"/>
      <c r="O325" s="11"/>
      <c r="P325" s="11"/>
      <c r="Q325" s="11"/>
    </row>
    <row r="326" ht="12.75" customHeight="1" hidden="1">
      <c r="A326" s="11"/>
      <c r="B326" s="11"/>
      <c r="C326" s="11"/>
      <c r="D326" s="11"/>
      <c r="E326" s="11"/>
      <c r="F326" s="11"/>
      <c r="G326" s="11"/>
      <c r="H326" s="11"/>
      <c r="I326" s="11"/>
      <c r="J326" s="11"/>
      <c r="K326" s="11"/>
      <c r="L326" s="11"/>
      <c r="M326" s="11"/>
      <c r="N326" s="11"/>
      <c r="O326" s="11"/>
      <c r="P326" s="11"/>
      <c r="Q326" s="11"/>
    </row>
    <row r="327" ht="12.75" customHeight="1" hidden="1">
      <c r="A327" s="11"/>
      <c r="B327" s="11"/>
      <c r="C327" s="11"/>
      <c r="D327" s="11"/>
      <c r="E327" s="11"/>
      <c r="F327" s="11"/>
      <c r="G327" s="11"/>
      <c r="H327" s="11"/>
      <c r="I327" s="11"/>
      <c r="J327" s="11"/>
      <c r="K327" s="11"/>
      <c r="L327" s="11"/>
      <c r="M327" s="11"/>
      <c r="N327" s="11"/>
      <c r="O327" s="11"/>
      <c r="P327" s="11"/>
      <c r="Q327" s="11"/>
    </row>
    <row r="328" ht="12.75" customHeight="1" hidden="1">
      <c r="A328" s="11"/>
      <c r="B328" s="11"/>
      <c r="C328" s="11"/>
      <c r="D328" s="11"/>
      <c r="E328" s="11"/>
      <c r="F328" s="11"/>
      <c r="G328" s="11"/>
      <c r="H328" s="11"/>
      <c r="I328" s="11"/>
      <c r="J328" s="11"/>
      <c r="K328" s="11"/>
      <c r="L328" s="11"/>
      <c r="M328" s="11"/>
      <c r="N328" s="11"/>
      <c r="O328" s="11"/>
      <c r="P328" s="11"/>
      <c r="Q328" s="11"/>
    </row>
    <row r="329" ht="12.75" customHeight="1" hidden="1">
      <c r="A329" s="11"/>
      <c r="B329" s="11"/>
      <c r="C329" s="11"/>
      <c r="D329" s="11"/>
      <c r="E329" s="11"/>
      <c r="F329" s="11"/>
      <c r="G329" s="11"/>
      <c r="H329" s="11"/>
      <c r="I329" s="11"/>
      <c r="J329" s="11"/>
      <c r="K329" s="11"/>
      <c r="L329" s="11"/>
      <c r="M329" s="11"/>
      <c r="N329" s="11"/>
      <c r="O329" s="11"/>
      <c r="P329" s="11"/>
      <c r="Q329" s="11"/>
    </row>
    <row r="330" ht="12.75" customHeight="1" hidden="1">
      <c r="A330" s="11"/>
      <c r="B330" s="11"/>
      <c r="C330" s="11"/>
      <c r="D330" s="11"/>
      <c r="E330" s="11"/>
      <c r="F330" s="11"/>
      <c r="G330" s="11"/>
      <c r="H330" s="11"/>
      <c r="I330" s="11"/>
      <c r="J330" s="11"/>
      <c r="K330" s="11"/>
      <c r="L330" s="11"/>
      <c r="M330" s="11"/>
      <c r="N330" s="11"/>
      <c r="O330" s="11"/>
      <c r="P330" s="11"/>
      <c r="Q330" s="11"/>
    </row>
    <row r="331" ht="12.75" customHeight="1" hidden="1">
      <c r="A331" s="11"/>
      <c r="B331" s="11"/>
      <c r="C331" s="11"/>
      <c r="D331" s="11"/>
      <c r="E331" s="11"/>
      <c r="F331" s="11"/>
      <c r="G331" s="11"/>
      <c r="H331" s="11"/>
      <c r="I331" s="11"/>
      <c r="J331" s="11"/>
      <c r="K331" s="11"/>
      <c r="L331" s="11"/>
      <c r="M331" s="11"/>
      <c r="N331" s="11"/>
      <c r="O331" s="11"/>
      <c r="P331" s="11"/>
      <c r="Q331" s="11"/>
    </row>
    <row r="332" ht="12.75" customHeight="1" hidden="1">
      <c r="A332" s="11"/>
      <c r="B332" s="11"/>
      <c r="C332" s="11"/>
      <c r="D332" s="11"/>
      <c r="E332" s="11"/>
      <c r="F332" s="11"/>
      <c r="G332" s="11"/>
      <c r="H332" s="11"/>
      <c r="I332" s="11"/>
      <c r="J332" s="11"/>
      <c r="K332" s="11"/>
      <c r="L332" s="11"/>
      <c r="M332" s="11"/>
      <c r="N332" s="11"/>
      <c r="O332" s="11"/>
      <c r="P332" s="11"/>
      <c r="Q332" s="11"/>
    </row>
    <row r="333" ht="12.75" customHeight="1" hidden="1">
      <c r="A333" s="11"/>
      <c r="B333" s="11"/>
      <c r="C333" s="11"/>
      <c r="D333" s="11"/>
      <c r="E333" s="11"/>
      <c r="F333" s="11"/>
      <c r="G333" s="11"/>
      <c r="H333" s="11"/>
      <c r="I333" s="11"/>
      <c r="J333" s="11"/>
      <c r="K333" s="11"/>
      <c r="L333" s="11"/>
      <c r="M333" s="11"/>
      <c r="N333" s="11"/>
      <c r="O333" s="11"/>
      <c r="P333" s="11"/>
      <c r="Q333" s="11"/>
    </row>
    <row r="334" ht="12.75" customHeight="1" hidden="1">
      <c r="A334" s="11"/>
      <c r="B334" s="11"/>
      <c r="C334" s="11"/>
      <c r="D334" s="11"/>
      <c r="E334" s="11"/>
      <c r="F334" s="11"/>
      <c r="G334" s="11"/>
      <c r="H334" s="11"/>
      <c r="I334" s="11"/>
      <c r="J334" s="11"/>
      <c r="K334" s="11"/>
      <c r="L334" s="11"/>
      <c r="M334" s="11"/>
      <c r="N334" s="11"/>
      <c r="O334" s="11"/>
      <c r="P334" s="11"/>
      <c r="Q334" s="11"/>
    </row>
    <row r="335" ht="12.75" customHeight="1" hidden="1">
      <c r="A335" s="11"/>
      <c r="B335" s="11"/>
      <c r="C335" s="11"/>
      <c r="D335" s="11"/>
      <c r="E335" s="11"/>
      <c r="F335" s="11"/>
      <c r="G335" s="11"/>
      <c r="H335" s="11"/>
      <c r="I335" s="11"/>
      <c r="J335" s="11"/>
      <c r="K335" s="11"/>
      <c r="L335" s="11"/>
      <c r="M335" s="11"/>
      <c r="N335" s="11"/>
      <c r="O335" s="11"/>
      <c r="P335" s="11"/>
      <c r="Q335" s="11"/>
    </row>
    <row r="336" ht="12.75" customHeight="1" hidden="1">
      <c r="A336" s="11"/>
      <c r="B336" s="11"/>
      <c r="C336" s="11"/>
      <c r="D336" s="11"/>
      <c r="E336" s="11"/>
      <c r="F336" s="11"/>
      <c r="G336" s="11"/>
      <c r="H336" s="11"/>
      <c r="I336" s="11"/>
      <c r="J336" s="11"/>
      <c r="K336" s="11"/>
      <c r="L336" s="11"/>
      <c r="M336" s="11"/>
      <c r="N336" s="11"/>
      <c r="O336" s="11"/>
      <c r="P336" s="11"/>
      <c r="Q336" s="11"/>
    </row>
    <row r="337" ht="12.75" customHeight="1" hidden="1">
      <c r="A337" s="11"/>
      <c r="B337" s="11"/>
      <c r="C337" s="11"/>
      <c r="D337" s="11"/>
      <c r="E337" s="11"/>
      <c r="F337" s="11"/>
      <c r="G337" s="11"/>
      <c r="H337" s="11"/>
      <c r="I337" s="11"/>
      <c r="J337" s="11"/>
      <c r="K337" s="11"/>
      <c r="L337" s="11"/>
      <c r="M337" s="11"/>
      <c r="N337" s="11"/>
      <c r="O337" s="11"/>
      <c r="P337" s="11"/>
      <c r="Q337" s="11"/>
    </row>
    <row r="338" ht="12.75" customHeight="1" hidden="1">
      <c r="A338" s="11"/>
      <c r="B338" s="11"/>
      <c r="C338" s="11"/>
      <c r="D338" s="11"/>
      <c r="E338" s="11"/>
      <c r="F338" s="11"/>
      <c r="G338" s="11"/>
      <c r="H338" s="11"/>
      <c r="I338" s="11"/>
      <c r="J338" s="11"/>
      <c r="K338" s="11"/>
      <c r="L338" s="11"/>
      <c r="M338" s="11"/>
      <c r="N338" s="11"/>
      <c r="O338" s="11"/>
      <c r="P338" s="11"/>
      <c r="Q338" s="11"/>
    </row>
    <row r="339" ht="12.75" customHeight="1" hidden="1">
      <c r="A339" s="11"/>
      <c r="B339" s="11"/>
      <c r="C339" s="11"/>
      <c r="D339" s="11"/>
      <c r="E339" s="11"/>
      <c r="F339" s="11"/>
      <c r="G339" s="11"/>
      <c r="H339" s="11"/>
      <c r="I339" s="11"/>
      <c r="J339" s="11"/>
      <c r="K339" s="11"/>
      <c r="L339" s="11"/>
      <c r="M339" s="11"/>
      <c r="N339" s="11"/>
      <c r="O339" s="11"/>
      <c r="P339" s="11"/>
      <c r="Q339" s="11"/>
    </row>
    <row r="340" ht="12.75" customHeight="1" hidden="1">
      <c r="A340" s="11"/>
      <c r="B340" s="11"/>
      <c r="C340" s="11"/>
      <c r="D340" s="11"/>
      <c r="E340" s="11"/>
      <c r="F340" s="11"/>
      <c r="G340" s="11"/>
      <c r="H340" s="11"/>
      <c r="I340" s="11"/>
      <c r="J340" s="11"/>
      <c r="K340" s="11"/>
      <c r="L340" s="11"/>
      <c r="M340" s="11"/>
      <c r="N340" s="11"/>
      <c r="O340" s="11"/>
      <c r="P340" s="11"/>
      <c r="Q340" s="11"/>
    </row>
    <row r="341" ht="12.75" customHeight="1" hidden="1">
      <c r="A341" s="11"/>
      <c r="B341" s="11"/>
      <c r="C341" s="11"/>
      <c r="D341" s="11"/>
      <c r="E341" s="11"/>
      <c r="F341" s="11"/>
      <c r="G341" s="11"/>
      <c r="H341" s="11"/>
      <c r="I341" s="11"/>
      <c r="J341" s="11"/>
      <c r="K341" s="11"/>
      <c r="L341" s="11"/>
      <c r="M341" s="11"/>
      <c r="N341" s="11"/>
      <c r="O341" s="11"/>
      <c r="P341" s="11"/>
      <c r="Q341" s="11"/>
    </row>
    <row r="342" ht="12.75" customHeight="1" hidden="1">
      <c r="A342" s="11"/>
      <c r="B342" s="11"/>
      <c r="C342" s="11"/>
      <c r="D342" s="11"/>
      <c r="E342" s="11"/>
      <c r="F342" s="11"/>
      <c r="G342" s="11"/>
      <c r="H342" s="11"/>
      <c r="I342" s="11"/>
      <c r="J342" s="11"/>
      <c r="K342" s="11"/>
      <c r="L342" s="11"/>
      <c r="M342" s="11"/>
      <c r="N342" s="11"/>
      <c r="O342" s="11"/>
      <c r="P342" s="11"/>
      <c r="Q342" s="11"/>
    </row>
    <row r="343" ht="12.75" customHeight="1" hidden="1">
      <c r="A343" s="11"/>
      <c r="B343" s="11"/>
      <c r="C343" s="11"/>
      <c r="D343" s="11"/>
      <c r="E343" s="11"/>
      <c r="F343" s="11"/>
      <c r="G343" s="11"/>
      <c r="H343" s="11"/>
      <c r="I343" s="11"/>
      <c r="J343" s="11"/>
      <c r="K343" s="11"/>
      <c r="L343" s="11"/>
      <c r="M343" s="11"/>
      <c r="N343" s="11"/>
      <c r="O343" s="11"/>
      <c r="P343" s="11"/>
      <c r="Q343" s="11"/>
    </row>
    <row r="344" ht="12.75" customHeight="1" hidden="1">
      <c r="A344" s="11"/>
      <c r="B344" s="11"/>
      <c r="C344" s="11"/>
      <c r="D344" s="11"/>
      <c r="E344" s="11"/>
      <c r="F344" s="11"/>
      <c r="G344" s="11"/>
      <c r="H344" s="11"/>
      <c r="I344" s="11"/>
      <c r="J344" s="11"/>
      <c r="K344" s="11"/>
      <c r="L344" s="11"/>
      <c r="M344" s="11"/>
      <c r="N344" s="11"/>
      <c r="O344" s="11"/>
      <c r="P344" s="11"/>
      <c r="Q344" s="11"/>
    </row>
    <row r="345" ht="12.75" customHeight="1" hidden="1">
      <c r="A345" s="11"/>
      <c r="B345" s="11"/>
      <c r="C345" s="11"/>
      <c r="D345" s="11"/>
      <c r="E345" s="11"/>
      <c r="F345" s="11"/>
      <c r="G345" s="11"/>
      <c r="H345" s="11"/>
      <c r="I345" s="11"/>
      <c r="J345" s="11"/>
      <c r="K345" s="11"/>
      <c r="L345" s="11"/>
      <c r="M345" s="11"/>
      <c r="N345" s="11"/>
      <c r="O345" s="11"/>
      <c r="P345" s="11"/>
      <c r="Q345" s="11"/>
    </row>
    <row r="346" ht="12.75" customHeight="1" hidden="1">
      <c r="A346" s="11"/>
      <c r="B346" s="11"/>
      <c r="C346" s="11"/>
      <c r="D346" s="11"/>
      <c r="E346" s="11"/>
      <c r="F346" s="11"/>
      <c r="G346" s="11"/>
      <c r="H346" s="11"/>
      <c r="I346" s="11"/>
      <c r="J346" s="11"/>
      <c r="K346" s="11"/>
      <c r="L346" s="11"/>
      <c r="M346" s="11"/>
      <c r="N346" s="11"/>
      <c r="O346" s="11"/>
      <c r="P346" s="11"/>
      <c r="Q346" s="11"/>
    </row>
    <row r="347" ht="12.75" customHeight="1" hidden="1">
      <c r="A347" s="11"/>
      <c r="B347" s="11"/>
      <c r="C347" s="11"/>
      <c r="D347" s="11"/>
      <c r="E347" s="11"/>
      <c r="F347" s="11"/>
      <c r="G347" s="11"/>
      <c r="H347" s="11"/>
      <c r="I347" s="11"/>
      <c r="J347" s="11"/>
      <c r="K347" s="11"/>
      <c r="L347" s="11"/>
      <c r="M347" s="11"/>
      <c r="N347" s="11"/>
      <c r="O347" s="11"/>
      <c r="P347" s="11"/>
      <c r="Q347" s="11"/>
    </row>
    <row r="348" ht="12.75" customHeight="1" hidden="1">
      <c r="A348" s="11"/>
      <c r="B348" s="11"/>
      <c r="C348" s="11"/>
      <c r="D348" s="11"/>
      <c r="E348" s="11"/>
      <c r="F348" s="11"/>
      <c r="G348" s="11"/>
      <c r="H348" s="11"/>
      <c r="I348" s="11"/>
      <c r="J348" s="11"/>
      <c r="K348" s="11"/>
      <c r="L348" s="11"/>
      <c r="M348" s="11"/>
      <c r="N348" s="11"/>
      <c r="O348" s="11"/>
      <c r="P348" s="11"/>
      <c r="Q348" s="11"/>
    </row>
    <row r="349" ht="12.75" customHeight="1" hidden="1">
      <c r="A349" s="11"/>
      <c r="B349" s="11"/>
      <c r="C349" s="11"/>
      <c r="D349" s="11"/>
      <c r="E349" s="11"/>
      <c r="F349" s="11"/>
      <c r="G349" s="11"/>
      <c r="H349" s="11"/>
      <c r="I349" s="11"/>
      <c r="J349" s="11"/>
      <c r="K349" s="11"/>
      <c r="L349" s="11"/>
      <c r="M349" s="11"/>
      <c r="N349" s="11"/>
      <c r="O349" s="11"/>
      <c r="P349" s="11"/>
      <c r="Q349" s="11"/>
    </row>
    <row r="350" ht="12.75" customHeight="1" hidden="1">
      <c r="A350" s="11"/>
      <c r="B350" s="11"/>
      <c r="C350" s="11"/>
      <c r="D350" s="11"/>
      <c r="E350" s="11"/>
      <c r="F350" s="11"/>
      <c r="G350" s="11"/>
      <c r="H350" s="11"/>
      <c r="I350" s="11"/>
      <c r="J350" s="11"/>
      <c r="K350" s="11"/>
      <c r="L350" s="11"/>
      <c r="M350" s="11"/>
      <c r="N350" s="11"/>
      <c r="O350" s="11"/>
      <c r="P350" s="11"/>
      <c r="Q350" s="11"/>
    </row>
    <row r="351" ht="12.75" customHeight="1" hidden="1">
      <c r="A351" s="11"/>
      <c r="B351" s="11"/>
      <c r="C351" s="11"/>
      <c r="D351" s="11"/>
      <c r="E351" s="11"/>
      <c r="F351" s="11"/>
      <c r="G351" s="11"/>
      <c r="H351" s="11"/>
      <c r="I351" s="11"/>
      <c r="J351" s="11"/>
      <c r="K351" s="11"/>
      <c r="L351" s="11"/>
      <c r="M351" s="11"/>
      <c r="N351" s="11"/>
      <c r="O351" s="11"/>
      <c r="P351" s="11"/>
      <c r="Q351" s="11"/>
    </row>
    <row r="352" ht="12.75" customHeight="1" hidden="1">
      <c r="A352" s="11"/>
      <c r="B352" s="11"/>
      <c r="C352" s="11"/>
      <c r="D352" s="11"/>
      <c r="E352" s="11"/>
      <c r="F352" s="11"/>
      <c r="G352" s="11"/>
      <c r="H352" s="11"/>
      <c r="I352" s="11"/>
      <c r="J352" s="11"/>
      <c r="K352" s="11"/>
      <c r="L352" s="11"/>
      <c r="M352" s="11"/>
      <c r="N352" s="11"/>
      <c r="O352" s="11"/>
      <c r="P352" s="11"/>
      <c r="Q352" s="11"/>
    </row>
    <row r="353" ht="12.75" customHeight="1" hidden="1">
      <c r="A353" s="11"/>
      <c r="B353" s="11"/>
      <c r="C353" s="11"/>
      <c r="D353" s="11"/>
      <c r="E353" s="11"/>
      <c r="F353" s="11"/>
      <c r="G353" s="11"/>
      <c r="H353" s="11"/>
      <c r="I353" s="11"/>
      <c r="J353" s="11"/>
      <c r="K353" s="11"/>
      <c r="L353" s="11"/>
      <c r="M353" s="11"/>
      <c r="N353" s="11"/>
      <c r="O353" s="11"/>
      <c r="P353" s="11"/>
      <c r="Q353" s="11"/>
    </row>
    <row r="354" ht="12.75" customHeight="1" hidden="1">
      <c r="A354" s="11"/>
      <c r="B354" s="11"/>
      <c r="C354" s="11"/>
      <c r="D354" s="11"/>
      <c r="E354" s="11"/>
      <c r="F354" s="11"/>
      <c r="G354" s="11"/>
      <c r="H354" s="11"/>
      <c r="I354" s="11"/>
      <c r="J354" s="11"/>
      <c r="K354" s="11"/>
      <c r="L354" s="11"/>
      <c r="M354" s="11"/>
      <c r="N354" s="11"/>
      <c r="O354" s="11"/>
      <c r="P354" s="11"/>
      <c r="Q354" s="11"/>
    </row>
    <row r="355" ht="12.75" customHeight="1" hidden="1">
      <c r="A355" s="11"/>
      <c r="B355" s="11"/>
      <c r="C355" s="11"/>
      <c r="D355" s="11"/>
      <c r="E355" s="11"/>
      <c r="F355" s="11"/>
      <c r="G355" s="11"/>
      <c r="H355" s="11"/>
      <c r="I355" s="11"/>
      <c r="J355" s="11"/>
      <c r="K355" s="11"/>
      <c r="L355" s="11"/>
      <c r="M355" s="11"/>
      <c r="N355" s="11"/>
      <c r="O355" s="11"/>
      <c r="P355" s="11"/>
      <c r="Q355" s="11"/>
    </row>
    <row r="356" ht="12.75" customHeight="1" hidden="1">
      <c r="A356" s="11"/>
      <c r="B356" s="11"/>
      <c r="C356" s="11"/>
      <c r="D356" s="11"/>
      <c r="E356" s="11"/>
      <c r="F356" s="11"/>
      <c r="G356" s="11"/>
      <c r="H356" s="11"/>
      <c r="I356" s="11"/>
      <c r="J356" s="11"/>
      <c r="K356" s="11"/>
      <c r="L356" s="11"/>
      <c r="M356" s="11"/>
      <c r="N356" s="11"/>
      <c r="O356" s="11"/>
      <c r="P356" s="11"/>
      <c r="Q356" s="11"/>
    </row>
    <row r="357" ht="12.75" customHeight="1" hidden="1">
      <c r="A357" s="11"/>
      <c r="B357" s="11"/>
      <c r="C357" s="11"/>
      <c r="D357" s="11"/>
      <c r="E357" s="11"/>
      <c r="F357" s="11"/>
      <c r="G357" s="11"/>
      <c r="H357" s="11"/>
      <c r="I357" s="11"/>
      <c r="J357" s="11"/>
      <c r="K357" s="11"/>
      <c r="L357" s="11"/>
      <c r="M357" s="11"/>
      <c r="N357" s="11"/>
      <c r="O357" s="11"/>
      <c r="P357" s="11"/>
      <c r="Q357" s="11"/>
    </row>
    <row r="358" ht="12.75" customHeight="1" hidden="1">
      <c r="A358" s="11"/>
      <c r="B358" s="11"/>
      <c r="C358" s="11"/>
      <c r="D358" s="11"/>
      <c r="E358" s="11"/>
      <c r="F358" s="11"/>
      <c r="G358" s="11"/>
      <c r="H358" s="11"/>
      <c r="I358" s="11"/>
      <c r="J358" s="11"/>
      <c r="K358" s="11"/>
      <c r="L358" s="11"/>
      <c r="M358" s="11"/>
      <c r="N358" s="11"/>
      <c r="O358" s="11"/>
      <c r="P358" s="11"/>
      <c r="Q358" s="11"/>
    </row>
    <row r="359" ht="12.75" customHeight="1" hidden="1">
      <c r="A359" s="11"/>
      <c r="B359" s="11"/>
      <c r="C359" s="11"/>
      <c r="D359" s="11"/>
      <c r="E359" s="11"/>
      <c r="F359" s="11"/>
      <c r="G359" s="11"/>
      <c r="H359" s="11"/>
      <c r="I359" s="11"/>
      <c r="J359" s="11"/>
      <c r="K359" s="11"/>
      <c r="L359" s="11"/>
      <c r="M359" s="11"/>
      <c r="N359" s="11"/>
      <c r="O359" s="11"/>
      <c r="P359" s="11"/>
      <c r="Q359" s="11"/>
    </row>
    <row r="360" ht="12.75" customHeight="1" hidden="1">
      <c r="A360" s="11"/>
      <c r="B360" s="11"/>
      <c r="C360" s="11"/>
      <c r="D360" s="11"/>
      <c r="E360" s="11"/>
      <c r="F360" s="11"/>
      <c r="G360" s="11"/>
      <c r="H360" s="11"/>
      <c r="I360" s="11"/>
      <c r="J360" s="11"/>
      <c r="K360" s="11"/>
      <c r="L360" s="11"/>
      <c r="M360" s="11"/>
      <c r="N360" s="11"/>
      <c r="O360" s="11"/>
      <c r="P360" s="11"/>
      <c r="Q360" s="11"/>
    </row>
    <row r="361" ht="12.75" customHeight="1" hidden="1">
      <c r="A361" s="11"/>
      <c r="B361" s="11"/>
      <c r="C361" s="11"/>
      <c r="D361" s="11"/>
      <c r="E361" s="11"/>
      <c r="F361" s="11"/>
      <c r="G361" s="11"/>
      <c r="H361" s="11"/>
      <c r="I361" s="11"/>
      <c r="J361" s="11"/>
      <c r="K361" s="11"/>
      <c r="L361" s="11"/>
      <c r="M361" s="11"/>
      <c r="N361" s="11"/>
      <c r="O361" s="11"/>
      <c r="P361" s="11"/>
      <c r="Q361" s="11"/>
    </row>
    <row r="362" ht="12.75" customHeight="1" hidden="1">
      <c r="A362" s="11"/>
      <c r="B362" s="11"/>
      <c r="C362" s="11"/>
      <c r="D362" s="11"/>
      <c r="E362" s="11"/>
      <c r="F362" s="11"/>
      <c r="G362" s="11"/>
      <c r="H362" s="11"/>
      <c r="I362" s="11"/>
      <c r="J362" s="11"/>
      <c r="K362" s="11"/>
      <c r="L362" s="11"/>
      <c r="M362" s="11"/>
      <c r="N362" s="11"/>
      <c r="O362" s="11"/>
      <c r="P362" s="11"/>
      <c r="Q362" s="11"/>
    </row>
    <row r="363" ht="12.75" customHeight="1" hidden="1">
      <c r="A363" s="11"/>
      <c r="B363" s="11"/>
      <c r="C363" s="11"/>
      <c r="D363" s="11"/>
      <c r="E363" s="11"/>
      <c r="F363" s="11"/>
      <c r="G363" s="11"/>
      <c r="H363" s="11"/>
      <c r="I363" s="11"/>
      <c r="J363" s="11"/>
      <c r="K363" s="11"/>
      <c r="L363" s="11"/>
      <c r="M363" s="11"/>
      <c r="N363" s="11"/>
      <c r="O363" s="11"/>
      <c r="P363" s="11"/>
      <c r="Q363" s="11"/>
    </row>
    <row r="364" ht="12.75" customHeight="1" hidden="1">
      <c r="A364" s="11"/>
      <c r="B364" s="11"/>
      <c r="C364" s="11"/>
      <c r="D364" s="11"/>
      <c r="E364" s="11"/>
      <c r="F364" s="11"/>
      <c r="G364" s="11"/>
      <c r="H364" s="11"/>
      <c r="I364" s="11"/>
      <c r="J364" s="11"/>
      <c r="K364" s="11"/>
      <c r="L364" s="11"/>
      <c r="M364" s="11"/>
      <c r="N364" s="11"/>
      <c r="O364" s="11"/>
      <c r="P364" s="11"/>
      <c r="Q364" s="11"/>
    </row>
    <row r="365" ht="12.75" customHeight="1" hidden="1">
      <c r="A365" s="11"/>
      <c r="B365" s="11"/>
      <c r="C365" s="11"/>
      <c r="D365" s="11"/>
      <c r="E365" s="11"/>
      <c r="F365" s="11"/>
      <c r="G365" s="11"/>
      <c r="H365" s="11"/>
      <c r="I365" s="11"/>
      <c r="J365" s="11"/>
      <c r="K365" s="11"/>
      <c r="L365" s="11"/>
      <c r="M365" s="11"/>
      <c r="N365" s="11"/>
      <c r="O365" s="11"/>
      <c r="P365" s="11"/>
      <c r="Q365" s="11"/>
    </row>
    <row r="366" ht="12.75" customHeight="1" hidden="1">
      <c r="A366" s="11"/>
      <c r="B366" s="11"/>
      <c r="C366" s="11"/>
      <c r="D366" s="11"/>
      <c r="E366" s="11"/>
      <c r="F366" s="11"/>
      <c r="G366" s="11"/>
      <c r="H366" s="11"/>
      <c r="I366" s="11"/>
      <c r="J366" s="11"/>
      <c r="K366" s="11"/>
      <c r="L366" s="11"/>
      <c r="M366" s="11"/>
      <c r="N366" s="11"/>
      <c r="O366" s="11"/>
      <c r="P366" s="11"/>
      <c r="Q366" s="11"/>
    </row>
    <row r="367" ht="12.75" customHeight="1" hidden="1">
      <c r="A367" s="11"/>
      <c r="B367" s="11"/>
      <c r="C367" s="11"/>
      <c r="D367" s="11"/>
      <c r="E367" s="11"/>
      <c r="F367" s="11"/>
      <c r="G367" s="11"/>
      <c r="H367" s="11"/>
      <c r="I367" s="11"/>
      <c r="J367" s="11"/>
      <c r="K367" s="11"/>
      <c r="L367" s="11"/>
      <c r="M367" s="11"/>
      <c r="N367" s="11"/>
      <c r="O367" s="11"/>
      <c r="P367" s="11"/>
      <c r="Q367" s="11"/>
    </row>
    <row r="368" ht="12.75" customHeight="1" hidden="1">
      <c r="A368" s="11"/>
      <c r="B368" s="11"/>
      <c r="C368" s="11"/>
      <c r="D368" s="11"/>
      <c r="E368" s="11"/>
      <c r="F368" s="11"/>
      <c r="G368" s="11"/>
      <c r="H368" s="11"/>
      <c r="I368" s="11"/>
      <c r="J368" s="11"/>
      <c r="K368" s="11"/>
      <c r="L368" s="11"/>
      <c r="M368" s="11"/>
      <c r="N368" s="11"/>
      <c r="O368" s="11"/>
      <c r="P368" s="11"/>
      <c r="Q368" s="11"/>
    </row>
    <row r="369" ht="12.75" customHeight="1" hidden="1">
      <c r="A369" s="11"/>
      <c r="B369" s="11"/>
      <c r="C369" s="11"/>
      <c r="D369" s="11"/>
      <c r="E369" s="11"/>
      <c r="F369" s="11"/>
      <c r="G369" s="11"/>
      <c r="H369" s="11"/>
      <c r="I369" s="11"/>
      <c r="J369" s="11"/>
      <c r="K369" s="11"/>
      <c r="L369" s="11"/>
      <c r="M369" s="11"/>
      <c r="N369" s="11"/>
      <c r="O369" s="11"/>
      <c r="P369" s="11"/>
      <c r="Q369" s="11"/>
    </row>
    <row r="370" ht="12.75" customHeight="1" hidden="1">
      <c r="A370" s="11"/>
      <c r="B370" s="11"/>
      <c r="C370" s="11"/>
      <c r="D370" s="11"/>
      <c r="E370" s="11"/>
      <c r="F370" s="11"/>
      <c r="G370" s="11"/>
      <c r="H370" s="11"/>
      <c r="I370" s="11"/>
      <c r="J370" s="11"/>
      <c r="K370" s="11"/>
      <c r="L370" s="11"/>
      <c r="M370" s="11"/>
      <c r="N370" s="11"/>
      <c r="O370" s="11"/>
      <c r="P370" s="11"/>
      <c r="Q370" s="11"/>
    </row>
    <row r="371" ht="12.75" customHeight="1" hidden="1">
      <c r="A371" s="11"/>
      <c r="B371" s="11"/>
      <c r="C371" s="11"/>
      <c r="D371" s="11"/>
      <c r="E371" s="11"/>
      <c r="F371" s="11"/>
      <c r="G371" s="11"/>
      <c r="H371" s="11"/>
      <c r="I371" s="11"/>
      <c r="J371" s="11"/>
      <c r="K371" s="11"/>
      <c r="L371" s="11"/>
      <c r="M371" s="11"/>
      <c r="N371" s="11"/>
      <c r="O371" s="11"/>
      <c r="P371" s="11"/>
      <c r="Q371" s="11"/>
    </row>
    <row r="372" ht="12.75" customHeight="1" hidden="1">
      <c r="A372" s="11"/>
      <c r="B372" s="11"/>
      <c r="C372" s="11"/>
      <c r="D372" s="11"/>
      <c r="E372" s="11"/>
      <c r="F372" s="11"/>
      <c r="G372" s="11"/>
      <c r="H372" s="11"/>
      <c r="I372" s="11"/>
      <c r="J372" s="11"/>
      <c r="K372" s="11"/>
      <c r="L372" s="11"/>
      <c r="M372" s="11"/>
      <c r="N372" s="11"/>
      <c r="O372" s="11"/>
      <c r="P372" s="11"/>
      <c r="Q372" s="11"/>
    </row>
    <row r="373" ht="12.75" customHeight="1" hidden="1">
      <c r="A373" s="11"/>
      <c r="B373" s="11"/>
      <c r="C373" s="11"/>
      <c r="D373" s="11"/>
      <c r="E373" s="11"/>
      <c r="F373" s="11"/>
      <c r="G373" s="11"/>
      <c r="H373" s="11"/>
      <c r="I373" s="11"/>
      <c r="J373" s="11"/>
      <c r="K373" s="11"/>
      <c r="L373" s="11"/>
      <c r="M373" s="11"/>
      <c r="N373" s="11"/>
      <c r="O373" s="11"/>
      <c r="P373" s="11"/>
      <c r="Q373" s="11"/>
    </row>
    <row r="374" ht="12.75" customHeight="1" hidden="1">
      <c r="A374" s="11"/>
      <c r="B374" s="11"/>
      <c r="C374" s="11"/>
      <c r="D374" s="11"/>
      <c r="E374" s="11"/>
      <c r="F374" s="11"/>
      <c r="G374" s="11"/>
      <c r="H374" s="11"/>
      <c r="I374" s="11"/>
      <c r="J374" s="11"/>
      <c r="K374" s="11"/>
      <c r="L374" s="11"/>
      <c r="M374" s="11"/>
      <c r="N374" s="11"/>
      <c r="O374" s="11"/>
      <c r="P374" s="11"/>
      <c r="Q374" s="11"/>
    </row>
    <row r="375" ht="12.75" customHeight="1" hidden="1">
      <c r="A375" s="11"/>
      <c r="B375" s="11"/>
      <c r="C375" s="11"/>
      <c r="D375" s="11"/>
      <c r="E375" s="11"/>
      <c r="F375" s="11"/>
      <c r="G375" s="11"/>
      <c r="H375" s="11"/>
      <c r="I375" s="11"/>
      <c r="J375" s="11"/>
      <c r="K375" s="11"/>
      <c r="L375" s="11"/>
      <c r="M375" s="11"/>
      <c r="N375" s="11"/>
      <c r="O375" s="11"/>
      <c r="P375" s="11"/>
      <c r="Q375" s="11"/>
    </row>
    <row r="376" ht="12.75" customHeight="1" hidden="1">
      <c r="A376" s="11"/>
      <c r="B376" s="11"/>
      <c r="C376" s="11"/>
      <c r="D376" s="11"/>
      <c r="E376" s="11"/>
      <c r="F376" s="11"/>
      <c r="G376" s="11"/>
      <c r="H376" s="11"/>
      <c r="I376" s="11"/>
      <c r="J376" s="11"/>
      <c r="K376" s="11"/>
      <c r="L376" s="11"/>
      <c r="M376" s="11"/>
      <c r="N376" s="11"/>
      <c r="O376" s="11"/>
      <c r="P376" s="11"/>
      <c r="Q376" s="11"/>
    </row>
    <row r="377" ht="12.75" customHeight="1" hidden="1">
      <c r="A377" s="11"/>
      <c r="B377" s="11"/>
      <c r="C377" s="11"/>
      <c r="D377" s="11"/>
      <c r="E377" s="11"/>
      <c r="F377" s="11"/>
      <c r="G377" s="11"/>
      <c r="H377" s="11"/>
      <c r="I377" s="11"/>
      <c r="J377" s="11"/>
      <c r="K377" s="11"/>
      <c r="L377" s="11"/>
      <c r="M377" s="11"/>
      <c r="N377" s="11"/>
      <c r="O377" s="11"/>
      <c r="P377" s="11"/>
      <c r="Q377" s="11"/>
    </row>
    <row r="378" ht="12.75" customHeight="1" hidden="1">
      <c r="A378" s="11"/>
      <c r="B378" s="11"/>
      <c r="C378" s="11"/>
      <c r="D378" s="11"/>
      <c r="E378" s="11"/>
      <c r="F378" s="11"/>
      <c r="G378" s="11"/>
      <c r="H378" s="11"/>
      <c r="I378" s="11"/>
      <c r="J378" s="11"/>
      <c r="K378" s="11"/>
      <c r="L378" s="11"/>
      <c r="M378" s="11"/>
      <c r="N378" s="11"/>
      <c r="O378" s="11"/>
      <c r="P378" s="11"/>
      <c r="Q378" s="11"/>
    </row>
    <row r="379" ht="12.75" customHeight="1" hidden="1">
      <c r="A379" s="11"/>
      <c r="B379" s="11"/>
      <c r="C379" s="11"/>
      <c r="D379" s="11"/>
      <c r="E379" s="11"/>
      <c r="F379" s="11"/>
      <c r="G379" s="11"/>
      <c r="H379" s="11"/>
      <c r="I379" s="11"/>
      <c r="J379" s="11"/>
      <c r="K379" s="11"/>
      <c r="L379" s="11"/>
      <c r="M379" s="11"/>
      <c r="N379" s="11"/>
      <c r="O379" s="11"/>
      <c r="P379" s="11"/>
      <c r="Q379" s="11"/>
    </row>
    <row r="380" ht="12.75" customHeight="1" hidden="1">
      <c r="A380" s="11"/>
      <c r="B380" s="11"/>
      <c r="C380" s="11"/>
      <c r="D380" s="11"/>
      <c r="E380" s="11"/>
      <c r="F380" s="11"/>
      <c r="G380" s="11"/>
      <c r="H380" s="11"/>
      <c r="I380" s="11"/>
      <c r="J380" s="11"/>
      <c r="K380" s="11"/>
      <c r="L380" s="11"/>
      <c r="M380" s="11"/>
      <c r="N380" s="11"/>
      <c r="O380" s="11"/>
      <c r="P380" s="11"/>
      <c r="Q380" s="11"/>
    </row>
    <row r="381" ht="12.75" customHeight="1" hidden="1">
      <c r="A381" s="11"/>
      <c r="B381" s="11"/>
      <c r="C381" s="11"/>
      <c r="D381" s="11"/>
      <c r="E381" s="11"/>
      <c r="F381" s="11"/>
      <c r="G381" s="11"/>
      <c r="H381" s="11"/>
      <c r="I381" s="11"/>
      <c r="J381" s="11"/>
      <c r="K381" s="11"/>
      <c r="L381" s="11"/>
      <c r="M381" s="11"/>
      <c r="N381" s="11"/>
      <c r="O381" s="11"/>
      <c r="P381" s="11"/>
      <c r="Q381" s="11"/>
    </row>
    <row r="382" ht="12.75" customHeight="1" hidden="1">
      <c r="A382" s="11"/>
      <c r="B382" s="11"/>
      <c r="C382" s="11"/>
      <c r="D382" s="11"/>
      <c r="E382" s="11"/>
      <c r="F382" s="11"/>
      <c r="G382" s="11"/>
      <c r="H382" s="11"/>
      <c r="I382" s="11"/>
      <c r="J382" s="11"/>
      <c r="K382" s="11"/>
      <c r="L382" s="11"/>
      <c r="M382" s="11"/>
      <c r="N382" s="11"/>
      <c r="O382" s="11"/>
      <c r="P382" s="11"/>
      <c r="Q382" s="11"/>
    </row>
    <row r="383" ht="12.75" customHeight="1" hidden="1">
      <c r="A383" s="11"/>
      <c r="B383" s="11"/>
      <c r="C383" s="11"/>
      <c r="D383" s="11"/>
      <c r="E383" s="11"/>
      <c r="F383" s="11"/>
      <c r="G383" s="11"/>
      <c r="H383" s="11"/>
      <c r="I383" s="11"/>
      <c r="J383" s="11"/>
      <c r="K383" s="11"/>
      <c r="L383" s="11"/>
      <c r="M383" s="11"/>
      <c r="N383" s="11"/>
      <c r="O383" s="11"/>
      <c r="P383" s="11"/>
      <c r="Q383" s="11"/>
    </row>
    <row r="384" ht="12.75" customHeight="1" hidden="1">
      <c r="A384" s="11"/>
      <c r="B384" s="11"/>
      <c r="C384" s="11"/>
      <c r="D384" s="11"/>
      <c r="E384" s="11"/>
      <c r="F384" s="11"/>
      <c r="G384" s="11"/>
      <c r="H384" s="11"/>
      <c r="I384" s="11"/>
      <c r="J384" s="11"/>
      <c r="K384" s="11"/>
      <c r="L384" s="11"/>
      <c r="M384" s="11"/>
      <c r="N384" s="11"/>
      <c r="O384" s="11"/>
      <c r="P384" s="11"/>
      <c r="Q384" s="11"/>
    </row>
    <row r="385" ht="12.75" customHeight="1" hidden="1">
      <c r="A385" s="11"/>
      <c r="B385" s="11"/>
      <c r="C385" s="11"/>
      <c r="D385" s="11"/>
      <c r="E385" s="11"/>
      <c r="F385" s="11"/>
      <c r="G385" s="11"/>
      <c r="H385" s="11"/>
      <c r="I385" s="11"/>
      <c r="J385" s="11"/>
      <c r="K385" s="11"/>
      <c r="L385" s="11"/>
      <c r="M385" s="11"/>
      <c r="N385" s="11"/>
      <c r="O385" s="11"/>
      <c r="P385" s="11"/>
      <c r="Q385" s="11"/>
    </row>
    <row r="386" ht="12.75" customHeight="1" hidden="1">
      <c r="A386" s="11"/>
      <c r="B386" s="11"/>
      <c r="C386" s="11"/>
      <c r="D386" s="11"/>
      <c r="E386" s="11"/>
      <c r="F386" s="11"/>
      <c r="G386" s="11"/>
      <c r="H386" s="11"/>
      <c r="I386" s="11"/>
      <c r="J386" s="11"/>
      <c r="K386" s="11"/>
      <c r="L386" s="11"/>
      <c r="M386" s="11"/>
      <c r="N386" s="11"/>
      <c r="O386" s="11"/>
      <c r="P386" s="11"/>
      <c r="Q386" s="11"/>
    </row>
    <row r="387" ht="12.75" customHeight="1" hidden="1">
      <c r="A387" s="11"/>
      <c r="B387" s="11"/>
      <c r="C387" s="11"/>
      <c r="D387" s="11"/>
      <c r="E387" s="11"/>
      <c r="F387" s="11"/>
      <c r="G387" s="11"/>
      <c r="H387" s="11"/>
      <c r="I387" s="11"/>
      <c r="J387" s="11"/>
      <c r="K387" s="11"/>
      <c r="L387" s="11"/>
      <c r="M387" s="11"/>
      <c r="N387" s="11"/>
      <c r="O387" s="11"/>
      <c r="P387" s="11"/>
      <c r="Q387" s="11"/>
    </row>
    <row r="388" ht="12.75" customHeight="1" hidden="1">
      <c r="A388" s="11"/>
      <c r="B388" s="11"/>
      <c r="C388" s="11"/>
      <c r="D388" s="11"/>
      <c r="E388" s="11"/>
      <c r="F388" s="11"/>
      <c r="G388" s="11"/>
      <c r="H388" s="11"/>
      <c r="I388" s="11"/>
      <c r="J388" s="11"/>
      <c r="K388" s="11"/>
      <c r="L388" s="11"/>
      <c r="M388" s="11"/>
      <c r="N388" s="11"/>
      <c r="O388" s="11"/>
      <c r="P388" s="11"/>
      <c r="Q388" s="11"/>
    </row>
    <row r="389" ht="12.75" customHeight="1" hidden="1">
      <c r="A389" s="11"/>
      <c r="B389" s="11"/>
      <c r="C389" s="11"/>
      <c r="D389" s="11"/>
      <c r="E389" s="11"/>
      <c r="F389" s="11"/>
      <c r="G389" s="11"/>
      <c r="H389" s="11"/>
      <c r="I389" s="11"/>
      <c r="J389" s="11"/>
      <c r="K389" s="11"/>
      <c r="L389" s="11"/>
      <c r="M389" s="11"/>
      <c r="N389" s="11"/>
      <c r="O389" s="11"/>
      <c r="P389" s="11"/>
      <c r="Q389" s="11"/>
    </row>
    <row r="390" ht="12.75" customHeight="1" hidden="1">
      <c r="A390" s="11"/>
      <c r="B390" s="11"/>
      <c r="C390" s="11"/>
      <c r="D390" s="11"/>
      <c r="E390" s="11"/>
      <c r="F390" s="11"/>
      <c r="G390" s="11"/>
      <c r="H390" s="11"/>
      <c r="I390" s="11"/>
      <c r="J390" s="11"/>
      <c r="K390" s="11"/>
      <c r="L390" s="11"/>
      <c r="M390" s="11"/>
      <c r="N390" s="11"/>
      <c r="O390" s="11"/>
      <c r="P390" s="11"/>
      <c r="Q390" s="11"/>
    </row>
    <row r="391" ht="12.75" customHeight="1" hidden="1">
      <c r="A391" s="11"/>
      <c r="B391" s="11"/>
      <c r="C391" s="11"/>
      <c r="D391" s="11"/>
      <c r="E391" s="11"/>
      <c r="F391" s="11"/>
      <c r="G391" s="11"/>
      <c r="H391" s="11"/>
      <c r="I391" s="11"/>
      <c r="J391" s="11"/>
      <c r="K391" s="11"/>
      <c r="L391" s="11"/>
      <c r="M391" s="11"/>
      <c r="N391" s="11"/>
      <c r="O391" s="11"/>
      <c r="P391" s="11"/>
      <c r="Q391" s="11"/>
    </row>
    <row r="392" ht="12.75" customHeight="1" hidden="1">
      <c r="A392" s="11"/>
      <c r="B392" s="11"/>
      <c r="C392" s="11"/>
      <c r="D392" s="11"/>
      <c r="E392" s="11"/>
      <c r="F392" s="11"/>
      <c r="G392" s="11"/>
      <c r="H392" s="11"/>
      <c r="I392" s="11"/>
      <c r="J392" s="11"/>
      <c r="K392" s="11"/>
      <c r="L392" s="11"/>
      <c r="M392" s="11"/>
      <c r="N392" s="11"/>
      <c r="O392" s="11"/>
      <c r="P392" s="11"/>
      <c r="Q392" s="11"/>
    </row>
    <row r="393" ht="12.75" customHeight="1" hidden="1">
      <c r="A393" s="11"/>
      <c r="B393" s="11"/>
      <c r="C393" s="11"/>
      <c r="D393" s="11"/>
      <c r="E393" s="11"/>
      <c r="F393" s="11"/>
      <c r="G393" s="11"/>
      <c r="H393" s="11"/>
      <c r="I393" s="11"/>
      <c r="J393" s="11"/>
      <c r="K393" s="11"/>
      <c r="L393" s="11"/>
      <c r="M393" s="11"/>
      <c r="N393" s="11"/>
      <c r="O393" s="11"/>
      <c r="P393" s="11"/>
      <c r="Q393" s="11"/>
    </row>
    <row r="394" ht="12.75" customHeight="1" hidden="1">
      <c r="A394" s="11"/>
      <c r="B394" s="11"/>
      <c r="C394" s="11"/>
      <c r="D394" s="11"/>
      <c r="E394" s="11"/>
      <c r="F394" s="11"/>
      <c r="G394" s="11"/>
      <c r="H394" s="11"/>
      <c r="I394" s="11"/>
      <c r="J394" s="11"/>
      <c r="K394" s="11"/>
      <c r="L394" s="11"/>
      <c r="M394" s="11"/>
      <c r="N394" s="11"/>
      <c r="O394" s="11"/>
      <c r="P394" s="11"/>
      <c r="Q394" s="11"/>
    </row>
    <row r="395" ht="12.75" customHeight="1" hidden="1">
      <c r="A395" s="11"/>
      <c r="B395" s="11"/>
      <c r="C395" s="11"/>
      <c r="D395" s="11"/>
      <c r="E395" s="11"/>
      <c r="F395" s="11"/>
      <c r="G395" s="11"/>
      <c r="H395" s="11"/>
      <c r="I395" s="11"/>
      <c r="J395" s="11"/>
      <c r="K395" s="11"/>
      <c r="L395" s="11"/>
      <c r="M395" s="11"/>
      <c r="N395" s="11"/>
      <c r="O395" s="11"/>
      <c r="P395" s="11"/>
      <c r="Q395" s="11"/>
    </row>
    <row r="396" ht="12.75" customHeight="1" hidden="1">
      <c r="A396" s="11"/>
      <c r="B396" s="11"/>
      <c r="C396" s="11"/>
      <c r="D396" s="11"/>
      <c r="E396" s="11"/>
      <c r="F396" s="11"/>
      <c r="G396" s="11"/>
      <c r="H396" s="11"/>
      <c r="I396" s="11"/>
      <c r="J396" s="11"/>
      <c r="K396" s="11"/>
      <c r="L396" s="11"/>
      <c r="M396" s="11"/>
      <c r="N396" s="11"/>
      <c r="O396" s="11"/>
      <c r="P396" s="11"/>
      <c r="Q396" s="11"/>
    </row>
    <row r="397" ht="12.75" customHeight="1" hidden="1">
      <c r="A397" s="11"/>
      <c r="B397" s="11"/>
      <c r="C397" s="11"/>
      <c r="D397" s="11"/>
      <c r="E397" s="11"/>
      <c r="F397" s="11"/>
      <c r="G397" s="11"/>
      <c r="H397" s="11"/>
      <c r="I397" s="11"/>
      <c r="J397" s="11"/>
      <c r="K397" s="11"/>
      <c r="L397" s="11"/>
      <c r="M397" s="11"/>
      <c r="N397" s="11"/>
      <c r="O397" s="11"/>
      <c r="P397" s="11"/>
      <c r="Q397" s="11"/>
    </row>
    <row r="398" ht="12.75" customHeight="1" hidden="1">
      <c r="A398" s="11"/>
      <c r="B398" s="11"/>
      <c r="C398" s="11"/>
      <c r="D398" s="11"/>
      <c r="E398" s="11"/>
      <c r="F398" s="11"/>
      <c r="G398" s="11"/>
      <c r="H398" s="11"/>
      <c r="I398" s="11"/>
      <c r="J398" s="11"/>
      <c r="K398" s="11"/>
      <c r="L398" s="11"/>
      <c r="M398" s="11"/>
      <c r="N398" s="11"/>
      <c r="O398" s="11"/>
      <c r="P398" s="11"/>
      <c r="Q398" s="11"/>
    </row>
    <row r="399" ht="12.75" customHeight="1" hidden="1">
      <c r="A399" s="11"/>
      <c r="B399" s="11"/>
      <c r="C399" s="11"/>
      <c r="D399" s="11"/>
      <c r="E399" s="11"/>
      <c r="F399" s="11"/>
      <c r="G399" s="11"/>
      <c r="H399" s="11"/>
      <c r="I399" s="11"/>
      <c r="J399" s="11"/>
      <c r="K399" s="11"/>
      <c r="L399" s="11"/>
      <c r="M399" s="11"/>
      <c r="N399" s="11"/>
      <c r="O399" s="11"/>
      <c r="P399" s="11"/>
      <c r="Q399" s="11"/>
    </row>
    <row r="400" ht="12.75" customHeight="1" hidden="1">
      <c r="A400" s="41">
        <v>43563</v>
      </c>
      <c r="B400" s="11"/>
      <c r="C400" s="11"/>
      <c r="D400" s="11"/>
      <c r="E400" s="11"/>
      <c r="F400" s="11"/>
      <c r="G400" s="11"/>
      <c r="H400" s="11"/>
      <c r="I400" s="11"/>
      <c r="J400" s="11"/>
      <c r="K400" s="11"/>
      <c r="L400" s="11"/>
      <c r="M400" s="11"/>
      <c r="N400" s="11"/>
      <c r="O400" s="11"/>
      <c r="P400" s="11"/>
      <c r="Q400" s="11"/>
    </row>
    <row r="401" ht="12.75" customHeight="1" hidden="1">
      <c r="A401" s="11"/>
      <c r="B401" s="11"/>
      <c r="C401" s="11"/>
      <c r="D401" s="11"/>
      <c r="E401" s="11"/>
      <c r="F401" s="11"/>
      <c r="G401" s="11"/>
      <c r="H401" s="11"/>
      <c r="I401" s="11"/>
      <c r="J401" s="11"/>
      <c r="K401" s="11"/>
      <c r="L401" s="11"/>
      <c r="M401" s="11"/>
      <c r="N401" s="11"/>
      <c r="O401" s="11"/>
      <c r="P401" s="11"/>
      <c r="Q401" s="11"/>
    </row>
    <row r="402" ht="12.75" customHeight="1" hidden="1">
      <c r="A402" s="41">
        <v>42975</v>
      </c>
      <c r="B402" s="11"/>
      <c r="C402" s="11"/>
      <c r="D402" s="11"/>
      <c r="E402" s="11"/>
      <c r="F402" s="11"/>
      <c r="G402" s="11"/>
      <c r="H402" s="11"/>
      <c r="I402" s="11"/>
      <c r="J402" s="11"/>
      <c r="K402" s="11"/>
      <c r="L402" s="11"/>
      <c r="M402" s="11"/>
      <c r="N402" s="11"/>
      <c r="O402" s="11"/>
      <c r="P402" s="11"/>
      <c r="Q402" s="11"/>
    </row>
    <row r="403" ht="12.75" customHeight="1" hidden="1">
      <c r="A403" s="11"/>
      <c r="B403" s="11"/>
      <c r="C403" s="11"/>
      <c r="D403" s="11"/>
      <c r="E403" s="11"/>
      <c r="F403" s="11"/>
      <c r="G403" s="11"/>
      <c r="H403" s="11"/>
      <c r="I403" s="11"/>
      <c r="J403" s="11"/>
      <c r="K403" s="11"/>
      <c r="L403" s="11"/>
      <c r="M403" s="11"/>
      <c r="N403" s="11"/>
      <c r="O403" s="11"/>
      <c r="P403" s="11"/>
      <c r="Q403" s="11"/>
    </row>
    <row r="404" ht="12.75" customHeight="1" hidden="1">
      <c r="A404" s="11"/>
      <c r="B404" s="11"/>
      <c r="C404" s="11"/>
      <c r="D404" s="11"/>
      <c r="E404" s="11"/>
      <c r="F404" s="11"/>
      <c r="G404" s="11"/>
      <c r="H404" s="11"/>
      <c r="I404" s="11"/>
      <c r="J404" s="11"/>
      <c r="K404" s="11"/>
      <c r="L404" s="11"/>
      <c r="M404" s="11"/>
      <c r="N404" s="11"/>
      <c r="O404" s="11"/>
      <c r="P404" s="11"/>
      <c r="Q404" s="11"/>
    </row>
    <row r="405" ht="12.75" customHeight="1" hidden="1">
      <c r="A405" s="11"/>
      <c r="B405" s="11"/>
      <c r="C405" s="11"/>
      <c r="D405" s="11"/>
      <c r="E405" s="11"/>
      <c r="F405" s="11"/>
      <c r="G405" s="11"/>
      <c r="H405" s="11"/>
      <c r="I405" s="11"/>
      <c r="J405" s="11"/>
      <c r="K405" s="11"/>
      <c r="L405" s="11"/>
      <c r="M405" s="11"/>
      <c r="N405" s="11"/>
      <c r="O405" s="11"/>
      <c r="P405" s="11"/>
      <c r="Q405" s="11"/>
    </row>
    <row r="406" ht="12.75" customHeight="1" hidden="1">
      <c r="A406" s="41">
        <v>42963</v>
      </c>
      <c r="B406" s="11"/>
      <c r="C406" s="11"/>
      <c r="D406" s="11"/>
      <c r="E406" s="11"/>
      <c r="F406" s="11"/>
      <c r="G406" s="11"/>
      <c r="H406" s="11"/>
      <c r="I406" s="11"/>
      <c r="J406" s="11"/>
      <c r="K406" s="11"/>
      <c r="L406" s="11"/>
      <c r="M406" s="11"/>
      <c r="N406" s="11"/>
      <c r="O406" s="11"/>
      <c r="P406" s="11"/>
      <c r="Q406" s="11"/>
    </row>
    <row r="407" ht="12.75" customHeight="1" hidden="1">
      <c r="A407" s="11"/>
      <c r="B407" s="11"/>
      <c r="C407" s="11"/>
      <c r="D407" s="11"/>
      <c r="E407" s="11"/>
      <c r="F407" s="11"/>
      <c r="G407" s="11"/>
      <c r="H407" s="11"/>
      <c r="I407" s="11"/>
      <c r="J407" s="11"/>
      <c r="K407" s="11"/>
      <c r="L407" s="11"/>
      <c r="M407" s="11"/>
      <c r="N407" s="11"/>
      <c r="O407" s="11"/>
      <c r="P407" s="11"/>
      <c r="Q407" s="11"/>
    </row>
    <row r="408" ht="12.75" customHeight="1" hidden="1">
      <c r="A408" s="11"/>
      <c r="B408" s="11"/>
      <c r="C408" s="11"/>
      <c r="D408" s="11"/>
      <c r="E408" s="11"/>
      <c r="F408" s="11"/>
      <c r="G408" s="11"/>
      <c r="H408" s="11"/>
      <c r="I408" s="11"/>
      <c r="J408" s="11"/>
      <c r="K408" s="11"/>
      <c r="L408" s="11"/>
      <c r="M408" s="11"/>
      <c r="N408" s="11"/>
      <c r="O408" s="11"/>
      <c r="P408" s="11"/>
      <c r="Q408" s="11"/>
    </row>
    <row r="409" ht="12.75" customHeight="1" hidden="1">
      <c r="A409" s="41">
        <v>42950</v>
      </c>
      <c r="B409" s="11"/>
      <c r="C409" s="11"/>
      <c r="D409" s="11"/>
      <c r="E409" s="11"/>
      <c r="F409" s="11"/>
      <c r="G409" s="11"/>
      <c r="H409" s="11"/>
      <c r="I409" s="11"/>
      <c r="J409" s="11"/>
      <c r="K409" s="11"/>
      <c r="L409" s="11"/>
      <c r="M409" s="11"/>
      <c r="N409" s="11"/>
      <c r="O409" s="11"/>
      <c r="P409" s="11"/>
      <c r="Q409" s="11"/>
    </row>
    <row r="410" ht="12.75" customHeight="1" hidden="1">
      <c r="A410" s="11"/>
      <c r="B410" s="11"/>
      <c r="C410" s="11"/>
      <c r="D410" s="11"/>
      <c r="E410" s="11"/>
      <c r="F410" s="11"/>
      <c r="G410" s="11"/>
      <c r="H410" s="11"/>
      <c r="I410" s="11"/>
      <c r="J410" s="11"/>
      <c r="K410" s="11"/>
      <c r="L410" s="11"/>
      <c r="M410" s="11"/>
      <c r="N410" s="11"/>
      <c r="O410" s="11"/>
      <c r="P410" s="11"/>
      <c r="Q410" s="11"/>
    </row>
    <row r="411" ht="12.75" customHeight="1" hidden="1">
      <c r="A411" s="41">
        <v>42942</v>
      </c>
      <c r="B411" s="11"/>
      <c r="C411" s="11"/>
      <c r="D411" s="11"/>
      <c r="E411" s="11"/>
      <c r="F411" s="11"/>
      <c r="G411" s="11"/>
      <c r="H411" s="11"/>
      <c r="I411" s="11"/>
      <c r="J411" s="11"/>
      <c r="K411" s="11"/>
      <c r="L411" s="11"/>
      <c r="M411" s="11"/>
      <c r="N411" s="11"/>
      <c r="O411" s="11"/>
      <c r="P411" s="11"/>
      <c r="Q411" s="11"/>
    </row>
    <row r="412" ht="12.75" customHeight="1" hidden="1">
      <c r="A412" s="11"/>
      <c r="B412" s="11"/>
      <c r="C412" s="11"/>
      <c r="D412" s="11"/>
      <c r="E412" s="11"/>
      <c r="F412" s="11"/>
      <c r="G412" s="11"/>
      <c r="H412" s="11"/>
      <c r="I412" s="11"/>
      <c r="J412" s="11"/>
      <c r="K412" s="11"/>
      <c r="L412" s="11"/>
      <c r="M412" s="11"/>
      <c r="N412" s="11"/>
      <c r="O412" s="11"/>
      <c r="P412" s="11"/>
      <c r="Q412" s="11"/>
    </row>
    <row r="413" ht="12.75" customHeight="1" hidden="1">
      <c r="A413" s="41">
        <v>41440</v>
      </c>
      <c r="B413" s="11"/>
      <c r="C413" s="11"/>
      <c r="D413" s="11"/>
      <c r="E413" s="11"/>
      <c r="F413" s="11"/>
      <c r="G413" s="11"/>
      <c r="H413" s="11"/>
      <c r="I413" s="11"/>
      <c r="J413" s="11"/>
      <c r="K413" s="11"/>
      <c r="L413" s="11"/>
      <c r="M413" s="11"/>
      <c r="N413" s="11"/>
      <c r="O413" s="11"/>
      <c r="P413" s="11"/>
      <c r="Q413" s="11"/>
    </row>
    <row r="414" ht="12.75" customHeight="1" hidden="1">
      <c r="A414" s="11"/>
      <c r="B414" s="11"/>
      <c r="C414" s="11"/>
      <c r="D414" s="11"/>
      <c r="E414" s="11"/>
      <c r="F414" s="11"/>
      <c r="G414" s="11"/>
      <c r="H414" s="11"/>
      <c r="I414" s="11"/>
      <c r="J414" s="11"/>
      <c r="K414" s="11"/>
      <c r="L414" s="11"/>
      <c r="M414" s="11"/>
      <c r="N414" s="11"/>
      <c r="O414" s="11"/>
      <c r="P414" s="11"/>
      <c r="Q414" s="11"/>
    </row>
    <row r="415" ht="12.75" customHeight="1" hidden="1">
      <c r="A415" s="11"/>
      <c r="B415" s="11"/>
      <c r="C415" s="11"/>
      <c r="D415" s="11"/>
      <c r="E415" s="11"/>
      <c r="F415" s="11"/>
      <c r="G415" s="11"/>
      <c r="H415" s="11"/>
      <c r="I415" s="11"/>
      <c r="J415" s="11"/>
      <c r="K415" s="11"/>
      <c r="L415" s="11"/>
      <c r="M415" s="11"/>
      <c r="N415" s="11"/>
      <c r="O415" s="11"/>
      <c r="P415" s="11"/>
      <c r="Q415" s="11"/>
    </row>
    <row r="416" ht="12.75" customHeight="1" hidden="1">
      <c r="A416" s="41"/>
      <c r="B416" s="11"/>
      <c r="C416" s="11"/>
      <c r="D416" s="11"/>
      <c r="E416" s="11"/>
      <c r="F416" s="11"/>
      <c r="G416" s="11"/>
      <c r="H416" s="11"/>
      <c r="I416" s="11"/>
      <c r="J416" s="11"/>
      <c r="K416" s="11"/>
      <c r="L416" s="11"/>
      <c r="M416" s="11"/>
      <c r="N416" s="11"/>
      <c r="O416" s="11"/>
      <c r="P416" s="11"/>
      <c r="Q416" s="11"/>
    </row>
    <row r="417" ht="17" customHeight="1">
      <c r="A417" s="11"/>
      <c r="B417" s="11"/>
      <c r="C417" s="11"/>
      <c r="D417" s="11"/>
      <c r="E417" s="11"/>
      <c r="F417" s="11"/>
      <c r="G417" s="11"/>
      <c r="H417" s="11"/>
      <c r="I417" s="11"/>
      <c r="J417" s="11"/>
      <c r="K417" s="11"/>
      <c r="L417" s="11"/>
      <c r="M417" s="11"/>
      <c r="N417" s="11"/>
      <c r="O417" s="11"/>
      <c r="P417" s="11"/>
      <c r="Q417" s="11"/>
    </row>
  </sheetData>
  <mergeCells count="1">
    <mergeCell ref="D38:E38"/>
  </mergeCells>
  <pageMargins left="0.75" right="0.75" top="1" bottom="1" header="0.5" footer="0.5"/>
  <pageSetup firstPageNumber="1" fitToHeight="1" fitToWidth="1" scale="100" useFirstPageNumber="0" orientation="portrait" pageOrder="downThenOver"/>
  <headerFooter>
    <oddFooter>&amp;L&amp;"Helvetica,Regular"&amp;12&amp;K000000	&amp;P</oddFooter>
  </headerFooter>
  <drawing r:id="rId1"/>
  <legacyDrawing r:id="rId2"/>
</worksheet>
</file>

<file path=xl/worksheets/sheet20.xml><?xml version="1.0" encoding="utf-8"?>
<worksheet xmlns:r="http://schemas.openxmlformats.org/officeDocument/2006/relationships" xmlns="http://schemas.openxmlformats.org/spreadsheetml/2006/main">
  <sheetPr>
    <pageSetUpPr fitToPage="1"/>
  </sheetPr>
  <dimension ref="A1:CF407"/>
  <sheetViews>
    <sheetView workbookViewId="0" defaultGridColor="0" colorId="16"/>
  </sheetViews>
  <sheetFormatPr defaultColWidth="6.625" defaultRowHeight="12.75" customHeight="1" outlineLevelRow="0" outlineLevelCol="0"/>
  <cols>
    <col min="1" max="1" width="3.75" style="6" customWidth="1"/>
    <col min="2" max="2" width="11.625" style="6" customWidth="1"/>
    <col min="3" max="3" width="13.5" style="6" customWidth="1"/>
    <col min="4" max="4" width="18" style="6" customWidth="1"/>
    <col min="5" max="5" width="18" style="6" customWidth="1"/>
    <col min="6" max="6" width="10.75" style="6" customWidth="1"/>
    <col min="7" max="7" width="13.75" style="6" customWidth="1"/>
    <col min="8" max="8" width="16.5" style="6" customWidth="1"/>
    <col min="9" max="9" width="16.5" style="6" customWidth="1"/>
    <col min="10" max="10" width="8.875" style="6" customWidth="1"/>
    <col min="11" max="11" hidden="1" width="6.625" style="6" customWidth="1"/>
    <col min="12" max="12" hidden="1" width="6.625" style="6" customWidth="1"/>
    <col min="13" max="13" hidden="1" width="6.625" style="6" customWidth="1"/>
    <col min="14" max="14" hidden="1" width="6.625" style="6" customWidth="1"/>
    <col min="15" max="15" hidden="1" width="6.625" style="6" customWidth="1"/>
    <col min="16" max="16" hidden="1" width="6.625" style="6" customWidth="1"/>
    <col min="17" max="17" hidden="1" width="6.625" style="6" customWidth="1"/>
    <col min="18" max="18" hidden="1" width="6.625" style="6" customWidth="1"/>
    <col min="19" max="19" hidden="1" width="6.625" style="6" customWidth="1"/>
    <col min="20" max="20" hidden="1" width="6.625" style="6" customWidth="1"/>
    <col min="21" max="21" hidden="1" width="6.625" style="6" customWidth="1"/>
    <col min="22" max="22" hidden="1" width="6.625" style="6" customWidth="1"/>
    <col min="23" max="23" hidden="1" width="6.625" style="6" customWidth="1"/>
    <col min="24" max="24" hidden="1" width="6.625" style="6" customWidth="1"/>
    <col min="25" max="25" hidden="1" width="6.625" style="6" customWidth="1"/>
    <col min="26" max="26" hidden="1" width="6.625" style="6" customWidth="1"/>
    <col min="27" max="27" hidden="1" width="6.625" style="6" customWidth="1"/>
    <col min="28" max="28" hidden="1" width="6.625" style="6" customWidth="1"/>
    <col min="29" max="29" hidden="1" width="6.625" style="6" customWidth="1"/>
    <col min="30" max="30" hidden="1" width="6.625" style="6" customWidth="1"/>
    <col min="31" max="31" hidden="1" width="6.625" style="6" customWidth="1"/>
    <col min="32" max="32" hidden="1" width="6.625" style="6" customWidth="1"/>
    <col min="33" max="33" hidden="1" width="6.625" style="6" customWidth="1"/>
    <col min="34" max="34" hidden="1" width="6.625" style="6" customWidth="1"/>
    <col min="35" max="35" hidden="1" width="6.625" style="6" customWidth="1"/>
    <col min="36" max="36" hidden="1" width="6.625" style="6" customWidth="1"/>
    <col min="37" max="37" hidden="1" width="6.625" style="6" customWidth="1"/>
    <col min="38" max="38" hidden="1" width="6.625" style="6" customWidth="1"/>
    <col min="39" max="39" hidden="1" width="6.625" style="6" customWidth="1"/>
    <col min="40" max="40" hidden="1" width="6.625" style="6" customWidth="1"/>
    <col min="41" max="41" hidden="1" width="6.625" style="6" customWidth="1"/>
    <col min="42" max="42" hidden="1" width="6.625" style="6" customWidth="1"/>
    <col min="43" max="43" hidden="1" width="6.625" style="6" customWidth="1"/>
    <col min="44" max="44" hidden="1" width="6.625" style="6" customWidth="1"/>
    <col min="45" max="45" hidden="1" width="6.625" style="6" customWidth="1"/>
    <col min="46" max="46" hidden="1" width="6.625" style="6" customWidth="1"/>
    <col min="47" max="47" hidden="1" width="6.625" style="6" customWidth="1"/>
    <col min="48" max="48" hidden="1" width="6.625" style="6" customWidth="1"/>
    <col min="49" max="49" hidden="1" width="6.625" style="6" customWidth="1"/>
    <col min="50" max="50" hidden="1" width="6.625" style="6" customWidth="1"/>
    <col min="51" max="51" hidden="1" width="6.625" style="6" customWidth="1"/>
    <col min="52" max="52" hidden="1" width="6.625" style="6" customWidth="1"/>
    <col min="53" max="53" hidden="1" width="6.625" style="6" customWidth="1"/>
    <col min="54" max="54" hidden="1" width="6.625" style="6" customWidth="1"/>
    <col min="55" max="55" hidden="1" width="6.625" style="6" customWidth="1"/>
    <col min="56" max="56" hidden="1" width="6.625" style="6" customWidth="1"/>
    <col min="57" max="57" hidden="1" width="6.625" style="6" customWidth="1"/>
    <col min="58" max="58" hidden="1" width="6.625" style="6" customWidth="1"/>
    <col min="59" max="59" hidden="1" width="6.625" style="6" customWidth="1"/>
    <col min="60" max="60" hidden="1" width="6.625" style="6" customWidth="1"/>
    <col min="61" max="61" hidden="1" width="6.625" style="6" customWidth="1"/>
    <col min="62" max="62" hidden="1" width="6.625" style="6" customWidth="1"/>
    <col min="63" max="63" hidden="1" width="6.625" style="6" customWidth="1"/>
    <col min="64" max="64" hidden="1" width="6.625" style="6" customWidth="1"/>
    <col min="65" max="65" hidden="1" width="6.625" style="6" customWidth="1"/>
    <col min="66" max="66" hidden="1" width="6.625" style="6" customWidth="1"/>
    <col min="67" max="67" hidden="1" width="6.625" style="6" customWidth="1"/>
    <col min="68" max="68" hidden="1" width="6.625" style="6" customWidth="1"/>
    <col min="69" max="69" hidden="1" width="6.625" style="6" customWidth="1"/>
    <col min="70" max="70" hidden="1" width="6.625" style="6" customWidth="1"/>
    <col min="71" max="71" hidden="1" width="6.625" style="6" customWidth="1"/>
    <col min="72" max="72" hidden="1" width="6.625" style="6" customWidth="1"/>
    <col min="73" max="73" hidden="1" width="6.625" style="6" customWidth="1"/>
    <col min="74" max="74" hidden="1" width="6.625" style="6" customWidth="1"/>
    <col min="75" max="75" hidden="1" width="6.625" style="6" customWidth="1"/>
    <col min="76" max="76" hidden="1" width="6.625" style="6" customWidth="1"/>
    <col min="77" max="77" hidden="1" width="6.625" style="6" customWidth="1"/>
    <col min="78" max="78" hidden="1" width="6.625" style="6" customWidth="1"/>
    <col min="79" max="79" hidden="1" width="6.625" style="6" customWidth="1"/>
    <col min="80" max="80" hidden="1" width="6.625" style="6" customWidth="1"/>
    <col min="81" max="81" hidden="1" width="6.625" style="6" customWidth="1"/>
    <col min="82" max="82" hidden="1" width="6.625" style="6" customWidth="1"/>
    <col min="83" max="83" hidden="1" width="6.625" style="6" customWidth="1"/>
    <col min="84" max="84" hidden="1" width="6.625" style="6" customWidth="1"/>
    <col min="85" max="256" width="6.625" style="818" customWidth="1"/>
  </cols>
  <sheetData>
    <row r="1" s="58" customFormat="1" ht="23.25" customHeight="1">
      <c r="B1" t="s" s="475">
        <v>934</v>
      </c>
      <c r="G1" s="48"/>
      <c r="H1" s="10"/>
    </row>
    <row r="2" s="58" customFormat="1" ht="23.25" customHeight="1">
      <c r="B2" s="819"/>
      <c r="F2" s="25"/>
      <c r="G2" s="56"/>
      <c r="H2" s="12"/>
    </row>
    <row r="3" s="58" customFormat="1" ht="15.75" customHeight="1">
      <c r="B3" t="s" s="59">
        <v>56</v>
      </c>
      <c r="C3" s="61"/>
      <c r="F3" s="10"/>
      <c r="G3" s="56"/>
      <c r="H3" s="56"/>
    </row>
    <row r="4" s="58" customFormat="1" ht="15" customHeight="1">
      <c r="B4" t="s" s="484">
        <v>58</v>
      </c>
      <c r="C4" s="485"/>
      <c r="F4" s="486"/>
      <c r="G4" s="67"/>
      <c r="H4" s="56"/>
    </row>
    <row r="5" s="58" customFormat="1" ht="15" customHeight="1">
      <c r="B5" t="s" s="487">
        <v>570</v>
      </c>
      <c r="C5" s="488"/>
    </row>
    <row r="6" s="58" customFormat="1" ht="15" customHeight="1">
      <c r="B6" t="s" s="74">
        <v>734</v>
      </c>
      <c r="C6" s="492"/>
      <c r="E6" s="77"/>
    </row>
    <row r="7" s="58" customFormat="1" ht="15.65" customHeight="1">
      <c r="AQ7" s="62">
        <f>YEAR(AQ9)</f>
        <v>2020</v>
      </c>
      <c r="AR7" s="62">
        <f>YEAR(AR9)</f>
        <v>2020</v>
      </c>
      <c r="AS7" s="62">
        <f>YEAR(AS9)</f>
        <v>2020</v>
      </c>
      <c r="AT7" s="62">
        <f>YEAR(AT9)</f>
        <v>2020</v>
      </c>
      <c r="AU7" s="62">
        <f>YEAR(AU9)</f>
        <v>2020</v>
      </c>
      <c r="AV7" s="62">
        <f>YEAR(AV9)</f>
        <v>2020</v>
      </c>
      <c r="AW7" s="62">
        <f>YEAR(AW9)</f>
        <v>2020</v>
      </c>
      <c r="AX7" s="62">
        <f>YEAR(AX9)</f>
        <v>2020</v>
      </c>
      <c r="AY7" s="62">
        <f>YEAR(AY9)</f>
        <v>2020</v>
      </c>
      <c r="AZ7" s="62">
        <f>YEAR(AZ9)</f>
        <v>2021</v>
      </c>
      <c r="BA7" s="62">
        <f>YEAR(BA9)</f>
        <v>2021</v>
      </c>
      <c r="BB7" s="62">
        <f>YEAR(BB9)</f>
        <v>2021</v>
      </c>
      <c r="BC7" s="62">
        <f>YEAR(BC9)</f>
        <v>2021</v>
      </c>
      <c r="BD7" s="62">
        <f>YEAR(BD9)</f>
        <v>2021</v>
      </c>
      <c r="BE7" s="62">
        <f>YEAR(BE9)</f>
        <v>2021</v>
      </c>
      <c r="BF7" s="62">
        <f>YEAR(BF9)</f>
        <v>2021</v>
      </c>
      <c r="BG7" s="62">
        <f>YEAR(BG9)</f>
        <v>2021</v>
      </c>
      <c r="BH7" s="62">
        <f>YEAR(BH9)</f>
        <v>2021</v>
      </c>
      <c r="BI7" s="62">
        <f>YEAR(BI9)</f>
        <v>2021</v>
      </c>
      <c r="BJ7" s="62">
        <f>YEAR(BJ9)</f>
        <v>2021</v>
      </c>
      <c r="BK7" s="62">
        <f>YEAR(BK9)</f>
        <v>2021</v>
      </c>
      <c r="BL7" s="62">
        <f>YEAR(BL9)</f>
        <v>2022</v>
      </c>
      <c r="BM7" s="62">
        <f>YEAR(BM9)</f>
        <v>2022</v>
      </c>
      <c r="BN7" s="62">
        <f>YEAR(BN9)</f>
        <v>2022</v>
      </c>
      <c r="BO7" s="62">
        <f>YEAR(BO9)</f>
        <v>2022</v>
      </c>
      <c r="BP7" s="62">
        <f>YEAR(BP9)</f>
        <v>2022</v>
      </c>
      <c r="BQ7" s="62">
        <f>YEAR(BQ9)</f>
        <v>2022</v>
      </c>
      <c r="BR7" s="62">
        <f>YEAR(BR9)</f>
        <v>2022</v>
      </c>
      <c r="BS7" s="62">
        <f>YEAR(BS9)</f>
        <v>2022</v>
      </c>
      <c r="BT7" s="62">
        <f>YEAR(BT9)</f>
        <v>2022</v>
      </c>
      <c r="BU7" s="62">
        <f>YEAR(BU9)</f>
        <v>2022</v>
      </c>
      <c r="BV7" s="62">
        <f>YEAR(BV9)</f>
        <v>2022</v>
      </c>
      <c r="BW7" s="62">
        <f>YEAR(BW9)</f>
        <v>2022</v>
      </c>
      <c r="BX7" s="62">
        <f>YEAR(BX9)</f>
        <v>2023</v>
      </c>
      <c r="BY7" s="62">
        <f>YEAR(BY9)</f>
        <v>2023</v>
      </c>
      <c r="BZ7" s="62">
        <f>YEAR(BZ9)</f>
        <v>2023</v>
      </c>
    </row>
    <row r="8" s="58" customFormat="1" ht="57.75" customHeight="1">
      <c r="B8" t="s" s="495">
        <v>735</v>
      </c>
      <c r="C8" t="s" s="495">
        <v>736</v>
      </c>
      <c r="D8" t="s" s="495">
        <v>737</v>
      </c>
      <c r="E8" t="s" s="495">
        <v>738</v>
      </c>
      <c r="F8" t="s" s="495">
        <v>739</v>
      </c>
      <c r="G8" t="s" s="495">
        <v>740</v>
      </c>
      <c r="H8" t="s" s="495">
        <v>935</v>
      </c>
      <c r="I8" t="s" s="495">
        <v>915</v>
      </c>
      <c r="M8" t="s" s="761">
        <v>920</v>
      </c>
      <c r="N8" s="801"/>
      <c r="S8" s="801"/>
      <c r="T8" s="762"/>
      <c r="U8" t="s" s="496">
        <v>748</v>
      </c>
      <c r="AQ8" s="62">
        <f>MONTH(AQ9)</f>
        <v>4</v>
      </c>
      <c r="AR8" s="62">
        <f>MONTH(AR9)</f>
        <v>5</v>
      </c>
      <c r="AS8" s="62">
        <f>MONTH(AS9)</f>
        <v>6</v>
      </c>
      <c r="AT8" s="62">
        <f>MONTH(AT9)</f>
        <v>7</v>
      </c>
      <c r="AU8" s="62">
        <f>MONTH(AU9)</f>
        <v>8</v>
      </c>
      <c r="AV8" s="62">
        <f>MONTH(AV9)</f>
        <v>9</v>
      </c>
      <c r="AW8" s="62">
        <f>MONTH(AW9)</f>
        <v>10</v>
      </c>
      <c r="AX8" s="62">
        <f>MONTH(AX9)</f>
        <v>11</v>
      </c>
      <c r="AY8" s="62">
        <f>MONTH(AY9)</f>
        <v>12</v>
      </c>
      <c r="AZ8" s="62">
        <f>MONTH(AZ9)</f>
        <v>1</v>
      </c>
      <c r="BA8" s="62">
        <f>MONTH(BA9)</f>
        <v>2</v>
      </c>
      <c r="BB8" s="62">
        <f>MONTH(BB9)</f>
        <v>3</v>
      </c>
      <c r="BC8" s="62">
        <f>MONTH(BC9)</f>
        <v>4</v>
      </c>
      <c r="BD8" s="62">
        <f>MONTH(BD9)</f>
        <v>5</v>
      </c>
      <c r="BE8" s="62">
        <f>MONTH(BE9)</f>
        <v>6</v>
      </c>
      <c r="BF8" s="62">
        <f>MONTH(BF9)</f>
        <v>7</v>
      </c>
      <c r="BG8" s="62">
        <f>MONTH(BG9)</f>
        <v>8</v>
      </c>
      <c r="BH8" s="62">
        <f>MONTH(BH9)</f>
        <v>9</v>
      </c>
      <c r="BI8" s="62">
        <f>MONTH(BI9)</f>
        <v>10</v>
      </c>
      <c r="BJ8" s="62">
        <f>MONTH(BJ9)</f>
        <v>11</v>
      </c>
      <c r="BK8" s="62">
        <f>MONTH(BK9)</f>
        <v>12</v>
      </c>
      <c r="BL8" s="62">
        <f>MONTH(BL9)</f>
        <v>1</v>
      </c>
      <c r="BM8" s="62">
        <f>MONTH(BM9)</f>
        <v>2</v>
      </c>
      <c r="BN8" s="62">
        <f>MONTH(BN9)</f>
        <v>3</v>
      </c>
      <c r="BO8" s="62">
        <f>MONTH(BO9)</f>
        <v>4</v>
      </c>
      <c r="BP8" s="62">
        <f>MONTH(BP9)</f>
        <v>5</v>
      </c>
      <c r="BQ8" s="62">
        <f>MONTH(BQ9)</f>
        <v>6</v>
      </c>
      <c r="BR8" s="62">
        <f>MONTH(BR9)</f>
        <v>7</v>
      </c>
      <c r="BS8" s="62">
        <f>MONTH(BS9)</f>
        <v>8</v>
      </c>
      <c r="BT8" s="62">
        <f>MONTH(BT9)</f>
        <v>9</v>
      </c>
      <c r="BU8" s="62">
        <f>MONTH(BU9)</f>
        <v>10</v>
      </c>
      <c r="BV8" s="62">
        <f>MONTH(BV9)</f>
        <v>11</v>
      </c>
      <c r="BW8" s="62">
        <f>MONTH(BW9)</f>
        <v>12</v>
      </c>
      <c r="BX8" s="62">
        <f>MONTH(BX9)</f>
        <v>1</v>
      </c>
      <c r="BY8" s="62">
        <f>MONTH(BY9)</f>
        <v>2</v>
      </c>
      <c r="BZ8" s="62">
        <f>MONTH(BZ9)</f>
        <v>3</v>
      </c>
    </row>
    <row r="9" s="58" customFormat="1" ht="18" customHeight="1">
      <c r="B9" s="505"/>
      <c r="C9" s="505"/>
      <c r="D9" s="505"/>
      <c r="E9" s="505"/>
      <c r="F9" s="505"/>
      <c r="G9" t="s" s="506">
        <v>753</v>
      </c>
      <c r="H9" t="s" s="506">
        <v>754</v>
      </c>
      <c r="I9" s="764"/>
      <c r="AH9" t="s" s="511">
        <v>758</v>
      </c>
      <c r="AI9" t="s" s="62">
        <v>925</v>
      </c>
      <c r="AP9" s="765"/>
      <c r="AQ9" s="765">
        <f>'Project Information'!C25</f>
        <v>43922</v>
      </c>
      <c r="AR9" s="765">
        <f>AQ9+30</f>
        <v>43952</v>
      </c>
      <c r="AS9" s="765">
        <f>AR9+31</f>
        <v>43983</v>
      </c>
      <c r="AT9" s="765">
        <f>AS9+31</f>
        <v>44014</v>
      </c>
      <c r="AU9" s="765">
        <f>AT9+31</f>
        <v>44045</v>
      </c>
      <c r="AV9" s="765">
        <f>AU9+30</f>
        <v>44075</v>
      </c>
      <c r="AW9" s="765">
        <f>AV9+31</f>
        <v>44106</v>
      </c>
      <c r="AX9" s="765">
        <f>AW9+30</f>
        <v>44136</v>
      </c>
      <c r="AY9" s="765">
        <f>AX9+31</f>
        <v>44167</v>
      </c>
      <c r="AZ9" s="765">
        <f>AY9+31</f>
        <v>44198</v>
      </c>
      <c r="BA9" s="765">
        <f>AZ9+31</f>
        <v>44229</v>
      </c>
      <c r="BB9" s="765">
        <f>BA9+28</f>
        <v>44257</v>
      </c>
      <c r="BC9" s="765">
        <f>BB9+31</f>
        <v>44288</v>
      </c>
      <c r="BD9" s="765">
        <f>BC9+30</f>
        <v>44318</v>
      </c>
      <c r="BE9" s="765">
        <f>BD9+31</f>
        <v>44349</v>
      </c>
      <c r="BF9" s="765">
        <f>BE9+31</f>
        <v>44380</v>
      </c>
      <c r="BG9" s="765">
        <f>BF9+31</f>
        <v>44411</v>
      </c>
      <c r="BH9" s="765">
        <f>BG9+30</f>
        <v>44441</v>
      </c>
      <c r="BI9" s="765">
        <f>BH9+31</f>
        <v>44472</v>
      </c>
      <c r="BJ9" s="765">
        <f>BI9+30</f>
        <v>44502</v>
      </c>
      <c r="BK9" s="765">
        <f>BJ9+31</f>
        <v>44533</v>
      </c>
      <c r="BL9" s="765">
        <f>BK9+31</f>
        <v>44564</v>
      </c>
      <c r="BM9" s="765">
        <f>BL9+31</f>
        <v>44595</v>
      </c>
      <c r="BN9" s="765">
        <f>BM9+28</f>
        <v>44623</v>
      </c>
      <c r="BO9" s="765">
        <f>BN9+31</f>
        <v>44654</v>
      </c>
      <c r="BP9" s="765">
        <f>BO9+30</f>
        <v>44684</v>
      </c>
      <c r="BQ9" s="765">
        <f>BP9+31</f>
        <v>44715</v>
      </c>
      <c r="BR9" s="765">
        <f>BQ9+31</f>
        <v>44746</v>
      </c>
      <c r="BS9" s="765">
        <f>BR9+31</f>
        <v>44777</v>
      </c>
      <c r="BT9" s="765">
        <f>BS9+30</f>
        <v>44807</v>
      </c>
      <c r="BU9" s="765">
        <f>BT9+31</f>
        <v>44838</v>
      </c>
      <c r="BV9" s="765">
        <f>BU9+30</f>
        <v>44868</v>
      </c>
      <c r="BW9" s="765">
        <f>BV9+31</f>
        <v>44899</v>
      </c>
      <c r="BX9" s="765">
        <f>BW9+31</f>
        <v>44930</v>
      </c>
      <c r="BY9" s="765">
        <f>BX9+31</f>
        <v>44961</v>
      </c>
      <c r="BZ9" s="765">
        <f>BY9+28</f>
        <v>44989</v>
      </c>
      <c r="CA9" s="765">
        <v>43922</v>
      </c>
      <c r="CB9" s="765"/>
      <c r="CC9" s="765"/>
      <c r="CD9" s="765"/>
      <c r="CE9" s="765"/>
      <c r="CF9" s="814"/>
    </row>
    <row r="10" s="58" customFormat="1" ht="18" customHeight="1">
      <c r="B10" t="s" s="517">
        <v>78</v>
      </c>
      <c r="C10" t="s" s="517">
        <v>78</v>
      </c>
      <c r="D10" s="518"/>
      <c r="E10" s="518"/>
      <c r="F10" s="518"/>
      <c r="G10" t="s" s="517">
        <v>78</v>
      </c>
      <c r="H10" t="s" s="517">
        <v>78</v>
      </c>
      <c r="I10" t="s" s="517">
        <v>78</v>
      </c>
      <c r="AH10" s="523"/>
      <c r="AP10" s="765"/>
      <c r="AQ10" s="765"/>
      <c r="AR10" s="765"/>
      <c r="AS10" s="765"/>
      <c r="AT10" s="765"/>
      <c r="AU10" s="765"/>
      <c r="AV10" s="765"/>
      <c r="AW10" s="765"/>
      <c r="AX10" s="765"/>
      <c r="AY10" s="765"/>
      <c r="AZ10" s="765"/>
      <c r="BA10" s="765"/>
      <c r="BB10" s="765"/>
      <c r="BC10" s="765"/>
      <c r="BD10" s="765"/>
      <c r="BE10" s="765"/>
      <c r="BF10" s="765"/>
      <c r="BG10" s="765"/>
      <c r="BH10" s="765"/>
      <c r="BI10" s="765"/>
      <c r="BJ10" s="765"/>
      <c r="BK10" s="765"/>
      <c r="BL10" s="765"/>
      <c r="BM10" s="765"/>
      <c r="BN10" s="765"/>
      <c r="BO10" s="765"/>
      <c r="BP10" s="765"/>
      <c r="BQ10" s="765"/>
      <c r="BR10" s="765"/>
      <c r="BS10" s="765"/>
      <c r="BT10" s="765"/>
      <c r="BU10" s="765"/>
      <c r="BV10" s="765"/>
      <c r="BW10" s="765"/>
      <c r="BX10" s="765"/>
      <c r="BY10" s="765"/>
      <c r="BZ10" s="765"/>
    </row>
    <row r="11" s="58" customFormat="1" ht="18" customHeight="1">
      <c r="B11" t="s" s="664">
        <v>802</v>
      </c>
      <c r="C11" s="526">
        <v>1</v>
      </c>
      <c r="D11" t="s" s="527">
        <f>LEFT(B11,1)</f>
        <v>904</v>
      </c>
      <c r="E11" t="s" s="527">
        <f>IF(C11="",0,(IF(LEN(B11)=5,MID(B11,3,1),MID(B11,3,2))))</f>
        <v>909</v>
      </c>
      <c r="F11" t="s" s="527">
        <f>IF(U11="H","House",IF(U11="B","Bungalow",IF(U11="F","Flat",IF(U11="S","Shared",IF(U11="T","Bedsit",IF(U11="A","Wheelchair Flat",IF(U11="W","Wheelchair",0)))))))</f>
        <v>906</v>
      </c>
      <c r="G11" s="526">
        <v>65</v>
      </c>
      <c r="H11" s="528">
        <v>230000</v>
      </c>
      <c r="I11" s="769">
        <v>44378</v>
      </c>
      <c r="M11" s="759">
        <f>IF(C11=0,0,(C11*G11)/$G$21*$M$21)</f>
        <v>-161296.8640086207</v>
      </c>
      <c r="N11" s="532"/>
      <c r="S11" s="532"/>
      <c r="T11" s="108"/>
      <c r="U11" t="s" s="62">
        <f>RIGHT(B11,1)</f>
        <v>907</v>
      </c>
      <c r="AH11" t="s" s="90">
        <v>908</v>
      </c>
      <c r="AI11" t="s" s="189">
        <v>926</v>
      </c>
      <c r="AQ11" s="772">
        <f>IF(AND(MONTH((DATE(1899,12,31)+(0*7+IF($I11&gt;60,$I11-1,$I11))))=$AQ$8,YEAR((DATE(1899,12,31)+(0*7+IF($I11&gt;60,$I11-1,$I11))))=$AQ$7),($H11*$C11),0)</f>
      </c>
      <c r="AR11" s="772">
        <f>IF(AND(MONTH((DATE(1899,12,31)+(0*7+IF($I11&gt;60,$I11-1,$I11))))=$AR$8,YEAR((DATE(1899,12,31)+(0*7+IF($I11&gt;60,$I11-1,$I11))))=$AR$7),($H11*$C11),0)</f>
      </c>
      <c r="AS11" s="772">
        <f>IF(AND(MONTH((DATE(1899,12,31)+(0*7+IF($I11&gt;60,$I11-1,$I11))))=$AS$8,YEAR((DATE(1899,12,31)+(0*7+IF($I11&gt;60,$I11-1,$I11))))=$AS$7),($H11*$C11),0)</f>
      </c>
      <c r="AT11" s="772">
        <f>IF(AND(MONTH((DATE(1899,12,31)+(0*7+IF($I11&gt;60,$I11-1,$I11))))=$AT$8,YEAR((DATE(1899,12,31)+(0*7+IF($I11&gt;60,$I11-1,$I11))))=$AT$7),($H11*$C11),0)</f>
      </c>
      <c r="AU11" s="772">
        <f>IF(AND(MONTH((DATE(1899,12,31)+(0*7+IF($I11&gt;60,$I11-1,$I11))))=$AU$8,YEAR((DATE(1899,12,31)+(0*7+IF($I11&gt;60,$I11-1,$I11))))=$AU$7),($H11*$C11),0)</f>
      </c>
      <c r="AV11" s="772">
        <f>IF(AND(MONTH((DATE(1899,12,31)+(0*7+IF($I11&gt;60,$I11-1,$I11))))=$AV$8,YEAR((DATE(1899,12,31)+(0*7+IF($I11&gt;60,$I11-1,$I11))))=$AV$7),($H11*$C11),0)</f>
      </c>
      <c r="AW11" s="772">
        <f>IF(AND(MONTH((DATE(1899,12,31)+(0*7+IF($I11&gt;60,$I11-1,$I11))))=$AW$8,YEAR((DATE(1899,12,31)+(0*7+IF($I11&gt;60,$I11-1,$I11))))=$AW$7),($H11*$C11),0)</f>
      </c>
      <c r="AX11" s="772">
        <f>IF(AND(MONTH((DATE(1899,12,31)+(0*7+IF($I11&gt;60,$I11-1,$I11))))=$AX$8,YEAR((DATE(1899,12,31)+(0*7+IF($I11&gt;60,$I11-1,$I11))))=$AX$7),($H11*$C11),0)</f>
      </c>
      <c r="AY11" s="772">
        <f>IF(AND(MONTH((DATE(1899,12,31)+(0*7+IF($I11&gt;60,$I11-1,$I11))))=$AY$8,YEAR((DATE(1899,12,31)+(0*7+IF($I11&gt;60,$I11-1,$I11))))=$AY$7),($H11*$C11),0)</f>
      </c>
      <c r="AZ11" s="772">
        <f>IF(AND(MONTH((DATE(1899,12,31)+(0*7+IF($I11&gt;60,$I11-1,$I11))))=$AZ$8,YEAR((DATE(1899,12,31)+(0*7+IF($I11&gt;60,$I11-1,$I11))))=$AZ$7),($H11*$C11),0)</f>
      </c>
      <c r="BA11" s="772">
        <f>IF(AND(MONTH((DATE(1899,12,31)+(0*7+IF($I11&gt;60,$I11-1,$I11))))=$BA$8,YEAR((DATE(1899,12,31)+(0*7+IF($I11&gt;60,$I11-1,$I11))))=$BA$7),($H11*$C11),0)</f>
      </c>
      <c r="BB11" s="772">
        <f>IF(AND(MONTH((DATE(1899,12,31)+(0*7+IF($I11&gt;60,$I11-1,$I11))))=$BB$8,YEAR((DATE(1899,12,31)+(0*7+IF($I11&gt;60,$I11-1,$I11))))=$BB$7),($H11*$C11),0)</f>
      </c>
      <c r="BC11" s="772">
        <f>IF(AND(MONTH((DATE(1899,12,31)+(0*7+IF($I11&gt;60,$I11-1,$I11))))=$BC$8,YEAR((DATE(1899,12,31)+(0*7+IF($I11&gt;60,$I11-1,$I11))))=$BC$7),($H11*$C11),0)</f>
      </c>
      <c r="BD11" s="772">
        <f>IF(AND(MONTH((DATE(1899,12,31)+(0*7+IF($I11&gt;60,$I11-1,$I11))))=$BD$8,YEAR((DATE(1899,12,31)+(0*7+IF($I11&gt;60,$I11-1,$I11))))=$BD$7),($H11*$C11),0)</f>
      </c>
      <c r="BE11" s="772">
        <f>IF(AND(MONTH((DATE(1899,12,31)+(0*7+IF($I11&gt;60,$I11-1,$I11))))=$BE$8,YEAR((DATE(1899,12,31)+(0*7+IF($I11&gt;60,$I11-1,$I11))))=$BE$7),($H11*$C11),0)</f>
      </c>
      <c r="BF11" s="772">
        <f>IF(AND(MONTH((DATE(1899,12,31)+(0*7+IF($I11&gt;60,$I11-1,$I11))))=$BF$8,YEAR((DATE(1899,12,31)+(0*7+IF($I11&gt;60,$I11-1,$I11))))=$BF$7),($H11*$C11),0)</f>
      </c>
      <c r="BG11" s="772">
        <f>IF(AND(MONTH((DATE(1899,12,31)+(0*7+IF($I11&gt;60,$I11-1,$I11))))=$BG$8,YEAR((DATE(1899,12,31)+(0*7+IF($I11&gt;60,$I11-1,$I11))))=$BG$7),($H11*$C11),0)</f>
      </c>
      <c r="BH11" s="772">
        <f>IF(AND(MONTH((DATE(1899,12,31)+(0*7+IF($I11&gt;60,$I11-1,$I11))))=$BH$8,YEAR((DATE(1899,12,31)+(0*7+IF($I11&gt;60,$I11-1,$I11))))=$BH$7),($H11*$C11),0)</f>
      </c>
      <c r="BI11" s="772">
        <f>IF(AND(MONTH((DATE(1899,12,31)+(0*7+IF($I11&gt;60,$I11-1,$I11))))=$BI$8,YEAR((DATE(1899,12,31)+(0*7+IF($I11&gt;60,$I11-1,$I11))))=$BI$7),($H11*$C11),0)</f>
      </c>
      <c r="BJ11" s="772">
        <f>IF(AND(MONTH((DATE(1899,12,31)+(0*7+IF($I11&gt;60,$I11-1,$I11))))=$BJ$8,YEAR((DATE(1899,12,31)+(0*7+IF($I11&gt;60,$I11-1,$I11))))=$BJ$7),($H11*$C11),0)</f>
      </c>
      <c r="BK11" s="772">
        <f>IF(AND(MONTH((DATE(1899,12,31)+(0*7+IF($I11&gt;60,$I11-1,$I11))))=$BK$8,YEAR((DATE(1899,12,31)+(0*7+IF($I11&gt;60,$I11-1,$I11))))=$BK$7),($H11*$C11),0)</f>
      </c>
      <c r="BL11" s="772">
        <f>IF(AND(MONTH((DATE(1899,12,31)+(0*7+IF($I11&gt;60,$I11-1,$I11))))=$BL$8,YEAR((DATE(1899,12,31)+(0*7+IF($I11&gt;60,$I11-1,$I11))))=$BL$7),($H11*$C11),0)</f>
      </c>
      <c r="BM11" s="772">
        <f>IF(AND(MONTH((DATE(1899,12,31)+(0*7+IF($I11&gt;60,$I11-1,$I11))))=$BM$8,YEAR((DATE(1899,12,31)+(0*7+IF($I11&gt;60,$I11-1,$I11))))=$BM$7),($H11*$C11),0)</f>
      </c>
      <c r="BN11" s="772">
        <f>IF(AND(MONTH((DATE(1899,12,31)+(0*7+IF($I11&gt;60,$I11-1,$I11))))=$BN$8,YEAR((DATE(1899,12,31)+(0*7+IF($I11&gt;60,$I11-1,$I11))))=$BN$7),($H11*$C11),0)</f>
      </c>
      <c r="BO11" s="772">
        <f>IF(AND(MONTH((DATE(1899,12,31)+(0*7+IF($I11&gt;60,$I11-1,$I11))))=$BO$8,YEAR((DATE(1899,12,31)+(0*7+IF($I11&gt;60,$I11-1,$I11))))=$BO$7),($H11*$C11),0)</f>
      </c>
      <c r="BP11" s="772">
        <f>IF(AND(MONTH((DATE(1899,12,31)+(0*7+IF($I11&gt;60,$I11-1,$I11))))=$BP$8,YEAR((DATE(1899,12,31)+(0*7+IF($I11&gt;60,$I11-1,$I11))))=$BP$7),($H11*$C11),0)</f>
      </c>
      <c r="BQ11" s="772">
        <f>IF(AND(MONTH((DATE(1899,12,31)+(0*7+IF($I11&gt;60,$I11-1,$I11))))=$BQ$8,YEAR((DATE(1899,12,31)+(0*7+IF($I11&gt;60,$I11-1,$I11))))=$BQ$7),($H11*$C11),0)</f>
      </c>
      <c r="BR11" s="772">
        <f>IF(AND(MONTH((DATE(1899,12,31)+(0*7+IF($I11&gt;60,$I11-1,$I11))))=$BR$8,YEAR((DATE(1899,12,31)+(0*7+IF($I11&gt;60,$I11-1,$I11))))=$BR$7),($H11*$C11),0)</f>
      </c>
      <c r="BS11" s="772">
        <f>IF(AND(MONTH((DATE(1899,12,31)+(0*7+IF($I11&gt;60,$I11-1,$I11))))=$BS$8,YEAR((DATE(1899,12,31)+(0*7+IF($I11&gt;60,$I11-1,$I11))))=$BS$7),($H11*$C11),0)</f>
      </c>
      <c r="BT11" s="772">
        <f>IF(AND(MONTH((DATE(1899,12,31)+(0*7+IF($I11&gt;60,$I11-1,$I11))))=$BT$8,YEAR((DATE(1899,12,31)+(0*7+IF($I11&gt;60,$I11-1,$I11))))=$BT$7),($H11*$C11),0)</f>
      </c>
      <c r="BU11" s="772">
        <f>IF(AND(MONTH((DATE(1899,12,31)+(0*7+IF($I11&gt;60,$I11-1,$I11))))=$BU$8,YEAR((DATE(1899,12,31)+(0*7+IF($I11&gt;60,$I11-1,$I11))))=$BU$7),($H11*$C11),0)</f>
      </c>
      <c r="BV11" s="772">
        <f>IF(AND(MONTH((DATE(1899,12,31)+(0*7+IF($I11&gt;60,$I11-1,$I11))))=$BV$8,YEAR((DATE(1899,12,31)+(0*7+IF($I11&gt;60,$I11-1,$I11))))=$BV$7),($H11*$C11),0)</f>
      </c>
      <c r="BW11" s="772">
        <f>IF(AND(MONTH((DATE(1899,12,31)+(0*7+IF($I11&gt;60,$I11-1,$I11))))=$BW$8,YEAR((DATE(1899,12,31)+(0*7+IF($I11&gt;60,$I11-1,$I11))))=$BW$7),($H11*$C11),0)</f>
      </c>
      <c r="BX11" s="772">
        <f>IF(AND(MONTH((DATE(1899,12,31)+(0*7+IF($I11&gt;60,$I11-1,$I11))))=$BX$8,YEAR((DATE(1899,12,31)+(0*7+IF($I11&gt;60,$I11-1,$I11))))=$BX$7),($H11*$C11),0)</f>
      </c>
      <c r="BY11" s="772">
        <f>IF(AND(MONTH((DATE(1899,12,31)+(0*7+IF($I11&gt;60,$I11-1,$I11))))=$BY$8,YEAR((DATE(1899,12,31)+(0*7+IF($I11&gt;60,$I11-1,$I11))))=$BY$7),($H11*$C11),0)</f>
      </c>
      <c r="BZ11" s="772">
        <f>IF(AND(MONTH((DATE(1899,12,31)+(0*7+IF($I11&gt;60,$I11-1,$I11))))=$BZ$8,YEAR((DATE(1899,12,31)+(0*7+IF($I11&gt;60,$I11-1,$I11))))=$BZ$7),($H11*$C11),0)</f>
      </c>
    </row>
    <row r="12" s="58" customFormat="1" ht="18" customHeight="1">
      <c r="B12" t="s" s="676">
        <v>823</v>
      </c>
      <c r="C12" s="539">
        <v>2</v>
      </c>
      <c r="D12" t="s" s="540">
        <f>LEFT(B12,1)</f>
        <v>905</v>
      </c>
      <c r="E12" t="s" s="540">
        <f>IF(C12="",0,(IF(LEN(B12)=5,MID(B12,3,1),MID(B12,3,2))))</f>
        <v>909</v>
      </c>
      <c r="F12" t="s" s="540">
        <f>IF(U12="H","House",IF(U12="B","Bungalow",IF(U12="F","Flat",IF(U12="S","Shared",IF(U12="T","Bedsit",IF(U12="A","Wheelchair Flat",IF(U12="W","Wheelchair",0)))))))</f>
        <v>906</v>
      </c>
      <c r="G12" s="539">
        <v>65</v>
      </c>
      <c r="H12" s="541">
        <v>280000</v>
      </c>
      <c r="I12" s="775">
        <v>44409</v>
      </c>
      <c r="M12" s="759">
        <f>IF(C12=0,0,(C12*G12)/$G$21*$M$21)</f>
        <v>-322593.7280172413</v>
      </c>
      <c r="N12" s="532"/>
      <c r="S12" s="532"/>
      <c r="T12" s="108"/>
      <c r="U12" t="s" s="62">
        <f>RIGHT(B12,1)</f>
        <v>907</v>
      </c>
      <c r="AH12" t="s" s="90">
        <v>762</v>
      </c>
      <c r="AI12" t="s" s="189">
        <v>927</v>
      </c>
      <c r="AQ12" s="772">
        <f>IF(AND(MONTH((DATE(1899,12,31)+(0*7+IF($I12&gt;60,$I12-1,$I12))))=$AQ$8,YEAR((DATE(1899,12,31)+(0*7+IF($I12&gt;60,$I12-1,$I12))))=$AQ$7),($H12*$C12),0)</f>
      </c>
      <c r="AR12" s="772">
        <f>IF(AND(MONTH((DATE(1899,12,31)+(0*7+IF($I12&gt;60,$I12-1,$I12))))=$AR$8,YEAR((DATE(1899,12,31)+(0*7+IF($I12&gt;60,$I12-1,$I12))))=$AR$7),($H12*$C12),0)</f>
      </c>
      <c r="AS12" s="772">
        <f>IF(AND(MONTH((DATE(1899,12,31)+(0*7+IF($I12&gt;60,$I12-1,$I12))))=$AS$8,YEAR((DATE(1899,12,31)+(0*7+IF($I12&gt;60,$I12-1,$I12))))=$AS$7),($H12*$C12),0)</f>
      </c>
      <c r="AT12" s="772">
        <f>IF(AND(MONTH((DATE(1899,12,31)+(0*7+IF($I12&gt;60,$I12-1,$I12))))=$AT$8,YEAR((DATE(1899,12,31)+(0*7+IF($I12&gt;60,$I12-1,$I12))))=$AT$7),($H12*$C12),0)</f>
      </c>
      <c r="AU12" s="772">
        <f>IF(AND(MONTH((DATE(1899,12,31)+(0*7+IF($I12&gt;60,$I12-1,$I12))))=$AU$8,YEAR((DATE(1899,12,31)+(0*7+IF($I12&gt;60,$I12-1,$I12))))=$AU$7),($H12*$C12),0)</f>
      </c>
      <c r="AV12" s="772">
        <f>IF(AND(MONTH((DATE(1899,12,31)+(0*7+IF($I12&gt;60,$I12-1,$I12))))=$AV$8,YEAR((DATE(1899,12,31)+(0*7+IF($I12&gt;60,$I12-1,$I12))))=$AV$7),($H12*$C12),0)</f>
      </c>
      <c r="AW12" s="772">
        <f>IF(AND(MONTH((DATE(1899,12,31)+(0*7+IF($I12&gt;60,$I12-1,$I12))))=$AW$8,YEAR((DATE(1899,12,31)+(0*7+IF($I12&gt;60,$I12-1,$I12))))=$AW$7),($H12*$C12),0)</f>
      </c>
      <c r="AX12" s="772">
        <f>IF(AND(MONTH((DATE(1899,12,31)+(0*7+IF($I12&gt;60,$I12-1,$I12))))=$AX$8,YEAR((DATE(1899,12,31)+(0*7+IF($I12&gt;60,$I12-1,$I12))))=$AX$7),($H12*$C12),0)</f>
      </c>
      <c r="AY12" s="772">
        <f>IF(AND(MONTH((DATE(1899,12,31)+(0*7+IF($I12&gt;60,$I12-1,$I12))))=$AY$8,YEAR((DATE(1899,12,31)+(0*7+IF($I12&gt;60,$I12-1,$I12))))=$AY$7),($H12*$C12),0)</f>
      </c>
      <c r="AZ12" s="772">
        <f>IF(AND(MONTH((DATE(1899,12,31)+(0*7+IF($I12&gt;60,$I12-1,$I12))))=$AZ$8,YEAR((DATE(1899,12,31)+(0*7+IF($I12&gt;60,$I12-1,$I12))))=$AZ$7),($H12*$C12),0)</f>
      </c>
      <c r="BA12" s="772">
        <f>IF(AND(MONTH((DATE(1899,12,31)+(0*7+IF($I12&gt;60,$I12-1,$I12))))=$BA$8,YEAR((DATE(1899,12,31)+(0*7+IF($I12&gt;60,$I12-1,$I12))))=$BA$7),($H12*$C12),0)</f>
      </c>
      <c r="BB12" s="772">
        <f>IF(AND(MONTH((DATE(1899,12,31)+(0*7+IF($I12&gt;60,$I12-1,$I12))))=$BB$8,YEAR((DATE(1899,12,31)+(0*7+IF($I12&gt;60,$I12-1,$I12))))=$BB$7),($H12*$C12),0)</f>
      </c>
      <c r="BC12" s="772">
        <f>IF(AND(MONTH((DATE(1899,12,31)+(0*7+IF($I12&gt;60,$I12-1,$I12))))=$BC$8,YEAR((DATE(1899,12,31)+(0*7+IF($I12&gt;60,$I12-1,$I12))))=$BC$7),($H12*$C12),0)</f>
      </c>
      <c r="BD12" s="772">
        <f>IF(AND(MONTH((DATE(1899,12,31)+(0*7+IF($I12&gt;60,$I12-1,$I12))))=$BD$8,YEAR((DATE(1899,12,31)+(0*7+IF($I12&gt;60,$I12-1,$I12))))=$BD$7),($H12*$C12),0)</f>
      </c>
      <c r="BE12" s="772">
        <f>IF(AND(MONTH((DATE(1899,12,31)+(0*7+IF($I12&gt;60,$I12-1,$I12))))=$BE$8,YEAR((DATE(1899,12,31)+(0*7+IF($I12&gt;60,$I12-1,$I12))))=$BE$7),($H12*$C12),0)</f>
      </c>
      <c r="BF12" s="772">
        <f>IF(AND(MONTH((DATE(1899,12,31)+(0*7+IF($I12&gt;60,$I12-1,$I12))))=$BF$8,YEAR((DATE(1899,12,31)+(0*7+IF($I12&gt;60,$I12-1,$I12))))=$BF$7),($H12*$C12),0)</f>
      </c>
      <c r="BG12" s="772">
        <f>IF(AND(MONTH((DATE(1899,12,31)+(0*7+IF($I12&gt;60,$I12-1,$I12))))=$BG$8,YEAR((DATE(1899,12,31)+(0*7+IF($I12&gt;60,$I12-1,$I12))))=$BG$7),($H12*$C12),0)</f>
      </c>
      <c r="BH12" s="772">
        <f>IF(AND(MONTH((DATE(1899,12,31)+(0*7+IF($I12&gt;60,$I12-1,$I12))))=$BH$8,YEAR((DATE(1899,12,31)+(0*7+IF($I12&gt;60,$I12-1,$I12))))=$BH$7),($H12*$C12),0)</f>
      </c>
      <c r="BI12" s="772">
        <f>IF(AND(MONTH((DATE(1899,12,31)+(0*7+IF($I12&gt;60,$I12-1,$I12))))=$BI$8,YEAR((DATE(1899,12,31)+(0*7+IF($I12&gt;60,$I12-1,$I12))))=$BI$7),($H12*$C12),0)</f>
      </c>
      <c r="BJ12" s="772">
        <f>IF(AND(MONTH((DATE(1899,12,31)+(0*7+IF($I12&gt;60,$I12-1,$I12))))=$BJ$8,YEAR((DATE(1899,12,31)+(0*7+IF($I12&gt;60,$I12-1,$I12))))=$BJ$7),($H12*$C12),0)</f>
      </c>
      <c r="BK12" s="772">
        <f>IF(AND(MONTH((DATE(1899,12,31)+(0*7+IF($I12&gt;60,$I12-1,$I12))))=$BK$8,YEAR((DATE(1899,12,31)+(0*7+IF($I12&gt;60,$I12-1,$I12))))=$BK$7),($H12*$C12),0)</f>
      </c>
      <c r="BL12" s="772">
        <f>IF(AND(MONTH((DATE(1899,12,31)+(0*7+IF($I12&gt;60,$I12-1,$I12))))=$BL$8,YEAR((DATE(1899,12,31)+(0*7+IF($I12&gt;60,$I12-1,$I12))))=$BL$7),($H12*$C12),0)</f>
      </c>
      <c r="BM12" s="772">
        <f>IF(AND(MONTH((DATE(1899,12,31)+(0*7+IF($I12&gt;60,$I12-1,$I12))))=$BM$8,YEAR((DATE(1899,12,31)+(0*7+IF($I12&gt;60,$I12-1,$I12))))=$BM$7),($H12*$C12),0)</f>
      </c>
      <c r="BN12" s="772">
        <f>IF(AND(MONTH((DATE(1899,12,31)+(0*7+IF($I12&gt;60,$I12-1,$I12))))=$BN$8,YEAR((DATE(1899,12,31)+(0*7+IF($I12&gt;60,$I12-1,$I12))))=$BN$7),($H12*$C12),0)</f>
      </c>
      <c r="BO12" s="772">
        <f>IF(AND(MONTH((DATE(1899,12,31)+(0*7+IF($I12&gt;60,$I12-1,$I12))))=$BO$8,YEAR((DATE(1899,12,31)+(0*7+IF($I12&gt;60,$I12-1,$I12))))=$BO$7),($H12*$C12),0)</f>
      </c>
      <c r="BP12" s="772">
        <f>IF(AND(MONTH((DATE(1899,12,31)+(0*7+IF($I12&gt;60,$I12-1,$I12))))=$BP$8,YEAR((DATE(1899,12,31)+(0*7+IF($I12&gt;60,$I12-1,$I12))))=$BP$7),($H12*$C12),0)</f>
      </c>
      <c r="BQ12" s="772">
        <f>IF(AND(MONTH((DATE(1899,12,31)+(0*7+IF($I12&gt;60,$I12-1,$I12))))=$BQ$8,YEAR((DATE(1899,12,31)+(0*7+IF($I12&gt;60,$I12-1,$I12))))=$BQ$7),($H12*$C12),0)</f>
      </c>
      <c r="BR12" s="772">
        <f>IF(AND(MONTH((DATE(1899,12,31)+(0*7+IF($I12&gt;60,$I12-1,$I12))))=$BR$8,YEAR((DATE(1899,12,31)+(0*7+IF($I12&gt;60,$I12-1,$I12))))=$BR$7),($H12*$C12),0)</f>
      </c>
      <c r="BS12" s="772">
        <f>IF(AND(MONTH((DATE(1899,12,31)+(0*7+IF($I12&gt;60,$I12-1,$I12))))=$BS$8,YEAR((DATE(1899,12,31)+(0*7+IF($I12&gt;60,$I12-1,$I12))))=$BS$7),($H12*$C12),0)</f>
      </c>
      <c r="BT12" s="772">
        <f>IF(AND(MONTH((DATE(1899,12,31)+(0*7+IF($I12&gt;60,$I12-1,$I12))))=$BT$8,YEAR((DATE(1899,12,31)+(0*7+IF($I12&gt;60,$I12-1,$I12))))=$BT$7),($H12*$C12),0)</f>
      </c>
      <c r="BU12" s="772">
        <f>IF(AND(MONTH((DATE(1899,12,31)+(0*7+IF($I12&gt;60,$I12-1,$I12))))=$BU$8,YEAR((DATE(1899,12,31)+(0*7+IF($I12&gt;60,$I12-1,$I12))))=$BU$7),($H12*$C12),0)</f>
      </c>
      <c r="BV12" s="772">
        <f>IF(AND(MONTH((DATE(1899,12,31)+(0*7+IF($I12&gt;60,$I12-1,$I12))))=$BV$8,YEAR((DATE(1899,12,31)+(0*7+IF($I12&gt;60,$I12-1,$I12))))=$BV$7),($H12*$C12),0)</f>
      </c>
      <c r="BW12" s="772">
        <f>IF(AND(MONTH((DATE(1899,12,31)+(0*7+IF($I12&gt;60,$I12-1,$I12))))=$BW$8,YEAR((DATE(1899,12,31)+(0*7+IF($I12&gt;60,$I12-1,$I12))))=$BW$7),($H12*$C12),0)</f>
      </c>
      <c r="BX12" s="772">
        <f>IF(AND(MONTH((DATE(1899,12,31)+(0*7+IF($I12&gt;60,$I12-1,$I12))))=$BX$8,YEAR((DATE(1899,12,31)+(0*7+IF($I12&gt;60,$I12-1,$I12))))=$BX$7),($H12*$C12),0)</f>
      </c>
      <c r="BY12" s="772">
        <f>IF(AND(MONTH((DATE(1899,12,31)+(0*7+IF($I12&gt;60,$I12-1,$I12))))=$BY$8,YEAR((DATE(1899,12,31)+(0*7+IF($I12&gt;60,$I12-1,$I12))))=$BY$7),($H12*$C12),0)</f>
      </c>
      <c r="BZ12" s="772">
        <f>IF(AND(MONTH((DATE(1899,12,31)+(0*7+IF($I12&gt;60,$I12-1,$I12))))=$BZ$8,YEAR((DATE(1899,12,31)+(0*7+IF($I12&gt;60,$I12-1,$I12))))=$BZ$7),($H12*$C12),0)</f>
      </c>
    </row>
    <row r="13" s="58" customFormat="1" ht="18" customHeight="1">
      <c r="B13" s="539"/>
      <c r="C13" s="539"/>
      <c r="D13" t="s" s="540">
        <f>LEFT(B13,1)</f>
      </c>
      <c r="E13" s="540">
        <f>IF(C13="",0,(IF(LEN(B13)=5,MID(B13,3,1),MID(B13,3,2))))</f>
        <v>0</v>
      </c>
      <c r="F13" s="540">
        <f>IF(U13="H","House",IF(U13="B","Bungalow",IF(U13="F","Flat",IF(U13="S","Shared",IF(U13="T","Bedsit",IF(U13="A","Wheelchair Flat",IF(U13="W","Wheelchair",0)))))))</f>
        <v>0</v>
      </c>
      <c r="G13" s="539"/>
      <c r="H13" s="541"/>
      <c r="I13" s="775"/>
      <c r="M13" s="759">
        <f>IF(C13=0,0,(C13*G13)/$G$21*$M$21)</f>
        <v>0</v>
      </c>
      <c r="N13" s="532"/>
      <c r="S13" s="532"/>
      <c r="T13" s="108"/>
      <c r="U13" t="s" s="62">
        <f>RIGHT(B13,1)</f>
      </c>
      <c r="AH13" t="s" s="90">
        <v>764</v>
      </c>
      <c r="AI13" t="s" s="189">
        <v>928</v>
      </c>
      <c r="AQ13" s="772">
        <f>IF(AND(MONTH((DATE(1899,12,31)+(0*7+IF($I13&gt;60,$I13-1,$I13))))=$AQ$8,YEAR((DATE(1899,12,31)+(0*7+IF($I13&gt;60,$I13-1,$I13))))=$AQ$7),($H13*$C13),0)</f>
        <v>0</v>
      </c>
      <c r="AR13" s="772">
        <f>IF(AND(MONTH((DATE(1899,12,31)+(0*7+IF($I13&gt;60,$I13-1,$I13))))=$AR$8,YEAR((DATE(1899,12,31)+(0*7+IF($I13&gt;60,$I13-1,$I13))))=$AR$7),($H13*$C13),0)</f>
        <v>0</v>
      </c>
      <c r="AS13" s="772">
        <f>IF(AND(MONTH((DATE(1899,12,31)+(0*7+IF($I13&gt;60,$I13-1,$I13))))=$AS$8,YEAR((DATE(1899,12,31)+(0*7+IF($I13&gt;60,$I13-1,$I13))))=$AS$7),($H13*$C13),0)</f>
        <v>0</v>
      </c>
      <c r="AT13" s="772">
        <f>IF(AND(MONTH((DATE(1899,12,31)+(0*7+IF($I13&gt;60,$I13-1,$I13))))=$AT$8,YEAR((DATE(1899,12,31)+(0*7+IF($I13&gt;60,$I13-1,$I13))))=$AT$7),($H13*$C13),0)</f>
        <v>0</v>
      </c>
      <c r="AU13" s="772">
        <f>IF(AND(MONTH((DATE(1899,12,31)+(0*7+IF($I13&gt;60,$I13-1,$I13))))=$AU$8,YEAR((DATE(1899,12,31)+(0*7+IF($I13&gt;60,$I13-1,$I13))))=$AU$7),($H13*$C13),0)</f>
        <v>0</v>
      </c>
      <c r="AV13" s="772">
        <f>IF(AND(MONTH((DATE(1899,12,31)+(0*7+IF($I13&gt;60,$I13-1,$I13))))=$AV$8,YEAR((DATE(1899,12,31)+(0*7+IF($I13&gt;60,$I13-1,$I13))))=$AV$7),($H13*$C13),0)</f>
        <v>0</v>
      </c>
      <c r="AW13" s="772">
        <f>IF(AND(MONTH((DATE(1899,12,31)+(0*7+IF($I13&gt;60,$I13-1,$I13))))=$AW$8,YEAR((DATE(1899,12,31)+(0*7+IF($I13&gt;60,$I13-1,$I13))))=$AW$7),($H13*$C13),0)</f>
        <v>0</v>
      </c>
      <c r="AX13" s="772">
        <f>IF(AND(MONTH((DATE(1899,12,31)+(0*7+IF($I13&gt;60,$I13-1,$I13))))=$AX$8,YEAR((DATE(1899,12,31)+(0*7+IF($I13&gt;60,$I13-1,$I13))))=$AX$7),($H13*$C13),0)</f>
        <v>0</v>
      </c>
      <c r="AY13" s="772">
        <f>IF(AND(MONTH((DATE(1899,12,31)+(0*7+IF($I13&gt;60,$I13-1,$I13))))=$AY$8,YEAR((DATE(1899,12,31)+(0*7+IF($I13&gt;60,$I13-1,$I13))))=$AY$7),($H13*$C13),0)</f>
        <v>0</v>
      </c>
      <c r="AZ13" s="772">
        <f>IF(AND(MONTH((DATE(1899,12,31)+(0*7+IF($I13&gt;60,$I13-1,$I13))))=$AZ$8,YEAR((DATE(1899,12,31)+(0*7+IF($I13&gt;60,$I13-1,$I13))))=$AZ$7),($H13*$C13),0)</f>
        <v>0</v>
      </c>
      <c r="BA13" s="772">
        <f>IF(AND(MONTH((DATE(1899,12,31)+(0*7+IF($I13&gt;60,$I13-1,$I13))))=$BA$8,YEAR((DATE(1899,12,31)+(0*7+IF($I13&gt;60,$I13-1,$I13))))=$BA$7),($H13*$C13),0)</f>
        <v>0</v>
      </c>
      <c r="BB13" s="772">
        <f>IF(AND(MONTH((DATE(1899,12,31)+(0*7+IF($I13&gt;60,$I13-1,$I13))))=$BB$8,YEAR((DATE(1899,12,31)+(0*7+IF($I13&gt;60,$I13-1,$I13))))=$BB$7),($H13*$C13),0)</f>
        <v>0</v>
      </c>
      <c r="BC13" s="772">
        <f>IF(AND(MONTH((DATE(1899,12,31)+(0*7+IF($I13&gt;60,$I13-1,$I13))))=$BC$8,YEAR((DATE(1899,12,31)+(0*7+IF($I13&gt;60,$I13-1,$I13))))=$BC$7),($H13*$C13),0)</f>
        <v>0</v>
      </c>
      <c r="BD13" s="772">
        <f>IF(AND(MONTH((DATE(1899,12,31)+(0*7+IF($I13&gt;60,$I13-1,$I13))))=$BD$8,YEAR((DATE(1899,12,31)+(0*7+IF($I13&gt;60,$I13-1,$I13))))=$BD$7),($H13*$C13),0)</f>
        <v>0</v>
      </c>
      <c r="BE13" s="772">
        <f>IF(AND(MONTH((DATE(1899,12,31)+(0*7+IF($I13&gt;60,$I13-1,$I13))))=$BE$8,YEAR((DATE(1899,12,31)+(0*7+IF($I13&gt;60,$I13-1,$I13))))=$BE$7),($H13*$C13),0)</f>
        <v>0</v>
      </c>
      <c r="BF13" s="772">
        <f>IF(AND(MONTH((DATE(1899,12,31)+(0*7+IF($I13&gt;60,$I13-1,$I13))))=$BF$8,YEAR((DATE(1899,12,31)+(0*7+IF($I13&gt;60,$I13-1,$I13))))=$BF$7),($H13*$C13),0)</f>
        <v>0</v>
      </c>
      <c r="BG13" s="772">
        <f>IF(AND(MONTH((DATE(1899,12,31)+(0*7+IF($I13&gt;60,$I13-1,$I13))))=$BG$8,YEAR((DATE(1899,12,31)+(0*7+IF($I13&gt;60,$I13-1,$I13))))=$BG$7),($H13*$C13),0)</f>
        <v>0</v>
      </c>
      <c r="BH13" s="772">
        <f>IF(AND(MONTH((DATE(1899,12,31)+(0*7+IF($I13&gt;60,$I13-1,$I13))))=$BH$8,YEAR((DATE(1899,12,31)+(0*7+IF($I13&gt;60,$I13-1,$I13))))=$BH$7),($H13*$C13),0)</f>
        <v>0</v>
      </c>
      <c r="BI13" s="772">
        <f>IF(AND(MONTH((DATE(1899,12,31)+(0*7+IF($I13&gt;60,$I13-1,$I13))))=$BI$8,YEAR((DATE(1899,12,31)+(0*7+IF($I13&gt;60,$I13-1,$I13))))=$BI$7),($H13*$C13),0)</f>
        <v>0</v>
      </c>
      <c r="BJ13" s="772">
        <f>IF(AND(MONTH((DATE(1899,12,31)+(0*7+IF($I13&gt;60,$I13-1,$I13))))=$BJ$8,YEAR((DATE(1899,12,31)+(0*7+IF($I13&gt;60,$I13-1,$I13))))=$BJ$7),($H13*$C13),0)</f>
        <v>0</v>
      </c>
      <c r="BK13" s="772">
        <f>IF(AND(MONTH((DATE(1899,12,31)+(0*7+IF($I13&gt;60,$I13-1,$I13))))=$BK$8,YEAR((DATE(1899,12,31)+(0*7+IF($I13&gt;60,$I13-1,$I13))))=$BK$7),($H13*$C13),0)</f>
        <v>0</v>
      </c>
      <c r="BL13" s="772">
        <f>IF(AND(MONTH((DATE(1899,12,31)+(0*7+IF($I13&gt;60,$I13-1,$I13))))=$BL$8,YEAR((DATE(1899,12,31)+(0*7+IF($I13&gt;60,$I13-1,$I13))))=$BL$7),($H13*$C13),0)</f>
        <v>0</v>
      </c>
      <c r="BM13" s="772">
        <f>IF(AND(MONTH((DATE(1899,12,31)+(0*7+IF($I13&gt;60,$I13-1,$I13))))=$BM$8,YEAR((DATE(1899,12,31)+(0*7+IF($I13&gt;60,$I13-1,$I13))))=$BM$7),($H13*$C13),0)</f>
        <v>0</v>
      </c>
      <c r="BN13" s="772">
        <f>IF(AND(MONTH((DATE(1899,12,31)+(0*7+IF($I13&gt;60,$I13-1,$I13))))=$BN$8,YEAR((DATE(1899,12,31)+(0*7+IF($I13&gt;60,$I13-1,$I13))))=$BN$7),($H13*$C13),0)</f>
        <v>0</v>
      </c>
      <c r="BO13" s="772">
        <f>IF(AND(MONTH((DATE(1899,12,31)+(0*7+IF($I13&gt;60,$I13-1,$I13))))=$BO$8,YEAR((DATE(1899,12,31)+(0*7+IF($I13&gt;60,$I13-1,$I13))))=$BO$7),($H13*$C13),0)</f>
        <v>0</v>
      </c>
      <c r="BP13" s="772">
        <f>IF(AND(MONTH((DATE(1899,12,31)+(0*7+IF($I13&gt;60,$I13-1,$I13))))=$BP$8,YEAR((DATE(1899,12,31)+(0*7+IF($I13&gt;60,$I13-1,$I13))))=$BP$7),($H13*$C13),0)</f>
        <v>0</v>
      </c>
      <c r="BQ13" s="772">
        <f>IF(AND(MONTH((DATE(1899,12,31)+(0*7+IF($I13&gt;60,$I13-1,$I13))))=$BQ$8,YEAR((DATE(1899,12,31)+(0*7+IF($I13&gt;60,$I13-1,$I13))))=$BQ$7),($H13*$C13),0)</f>
        <v>0</v>
      </c>
      <c r="BR13" s="772">
        <f>IF(AND(MONTH((DATE(1899,12,31)+(0*7+IF($I13&gt;60,$I13-1,$I13))))=$BR$8,YEAR((DATE(1899,12,31)+(0*7+IF($I13&gt;60,$I13-1,$I13))))=$BR$7),($H13*$C13),0)</f>
        <v>0</v>
      </c>
      <c r="BS13" s="772">
        <f>IF(AND(MONTH((DATE(1899,12,31)+(0*7+IF($I13&gt;60,$I13-1,$I13))))=$BS$8,YEAR((DATE(1899,12,31)+(0*7+IF($I13&gt;60,$I13-1,$I13))))=$BS$7),($H13*$C13),0)</f>
        <v>0</v>
      </c>
      <c r="BT13" s="772">
        <f>IF(AND(MONTH((DATE(1899,12,31)+(0*7+IF($I13&gt;60,$I13-1,$I13))))=$BT$8,YEAR((DATE(1899,12,31)+(0*7+IF($I13&gt;60,$I13-1,$I13))))=$BT$7),($H13*$C13),0)</f>
        <v>0</v>
      </c>
      <c r="BU13" s="772">
        <f>IF(AND(MONTH((DATE(1899,12,31)+(0*7+IF($I13&gt;60,$I13-1,$I13))))=$BU$8,YEAR((DATE(1899,12,31)+(0*7+IF($I13&gt;60,$I13-1,$I13))))=$BU$7),($H13*$C13),0)</f>
        <v>0</v>
      </c>
      <c r="BV13" s="772">
        <f>IF(AND(MONTH((DATE(1899,12,31)+(0*7+IF($I13&gt;60,$I13-1,$I13))))=$BV$8,YEAR((DATE(1899,12,31)+(0*7+IF($I13&gt;60,$I13-1,$I13))))=$BV$7),($H13*$C13),0)</f>
        <v>0</v>
      </c>
      <c r="BW13" s="772">
        <f>IF(AND(MONTH((DATE(1899,12,31)+(0*7+IF($I13&gt;60,$I13-1,$I13))))=$BW$8,YEAR((DATE(1899,12,31)+(0*7+IF($I13&gt;60,$I13-1,$I13))))=$BW$7),($H13*$C13),0)</f>
        <v>0</v>
      </c>
      <c r="BX13" s="772">
        <f>IF(AND(MONTH((DATE(1899,12,31)+(0*7+IF($I13&gt;60,$I13-1,$I13))))=$BX$8,YEAR((DATE(1899,12,31)+(0*7+IF($I13&gt;60,$I13-1,$I13))))=$BX$7),($H13*$C13),0)</f>
        <v>0</v>
      </c>
      <c r="BY13" s="772">
        <f>IF(AND(MONTH((DATE(1899,12,31)+(0*7+IF($I13&gt;60,$I13-1,$I13))))=$BY$8,YEAR((DATE(1899,12,31)+(0*7+IF($I13&gt;60,$I13-1,$I13))))=$BY$7),($H13*$C13),0)</f>
        <v>0</v>
      </c>
      <c r="BZ13" s="772">
        <f>IF(AND(MONTH((DATE(1899,12,31)+(0*7+IF($I13&gt;60,$I13-1,$I13))))=$BZ$8,YEAR((DATE(1899,12,31)+(0*7+IF($I13&gt;60,$I13-1,$I13))))=$BZ$7),($H13*$C13),0)</f>
        <v>0</v>
      </c>
    </row>
    <row r="14" s="58" customFormat="1" ht="18" customHeight="1">
      <c r="B14" s="539"/>
      <c r="C14" s="539"/>
      <c r="D14" t="s" s="540">
        <f>LEFT(B14,1)</f>
      </c>
      <c r="E14" s="540">
        <f>IF(C14="",0,(IF(LEN(B14)=5,MID(B14,3,1),MID(B14,3,2))))</f>
        <v>0</v>
      </c>
      <c r="F14" s="540">
        <f>IF(U14="H","House",IF(U14="B","Bungalow",IF(U14="F","Flat",IF(U14="S","Shared",IF(U14="T","Bedsit",IF(U14="A","Wheelchair Flat",IF(U14="W","Wheelchair",0)))))))</f>
        <v>0</v>
      </c>
      <c r="G14" s="539"/>
      <c r="H14" s="541"/>
      <c r="I14" s="775"/>
      <c r="M14" s="759">
        <f>IF(C14=0,0,(C14*G14)/$G$21*$M$21)</f>
        <v>0</v>
      </c>
      <c r="N14" s="532"/>
      <c r="S14" s="532"/>
      <c r="T14" s="108"/>
      <c r="U14" t="s" s="62">
        <f>RIGHT(B14,1)</f>
      </c>
      <c r="AH14" t="s" s="90">
        <v>766</v>
      </c>
      <c r="AQ14" s="772">
        <f>IF(AND(MONTH((DATE(1899,12,31)+(0*7+IF($I14&gt;60,$I14-1,$I14))))=$AQ$8,YEAR((DATE(1899,12,31)+(0*7+IF($I14&gt;60,$I14-1,$I14))))=$AQ$7),($H14*$C14),0)</f>
        <v>0</v>
      </c>
      <c r="AR14" s="772">
        <f>IF(AND(MONTH((DATE(1899,12,31)+(0*7+IF($I14&gt;60,$I14-1,$I14))))=$AR$8,YEAR((DATE(1899,12,31)+(0*7+IF($I14&gt;60,$I14-1,$I14))))=$AR$7),($H14*$C14),0)</f>
        <v>0</v>
      </c>
      <c r="AS14" s="772">
        <f>IF(AND(MONTH((DATE(1899,12,31)+(0*7+IF($I14&gt;60,$I14-1,$I14))))=$AS$8,YEAR((DATE(1899,12,31)+(0*7+IF($I14&gt;60,$I14-1,$I14))))=$AS$7),($H14*$C14),0)</f>
        <v>0</v>
      </c>
      <c r="AT14" s="772">
        <f>IF(AND(MONTH((DATE(1899,12,31)+(0*7+IF($I14&gt;60,$I14-1,$I14))))=$AT$8,YEAR((DATE(1899,12,31)+(0*7+IF($I14&gt;60,$I14-1,$I14))))=$AT$7),($H14*$C14),0)</f>
        <v>0</v>
      </c>
      <c r="AU14" s="772">
        <f>IF(AND(MONTH((DATE(1899,12,31)+(0*7+IF($I14&gt;60,$I14-1,$I14))))=$AU$8,YEAR((DATE(1899,12,31)+(0*7+IF($I14&gt;60,$I14-1,$I14))))=$AU$7),($H14*$C14),0)</f>
        <v>0</v>
      </c>
      <c r="AV14" s="772">
        <f>IF(AND(MONTH((DATE(1899,12,31)+(0*7+IF($I14&gt;60,$I14-1,$I14))))=$AV$8,YEAR((DATE(1899,12,31)+(0*7+IF($I14&gt;60,$I14-1,$I14))))=$AV$7),($H14*$C14),0)</f>
        <v>0</v>
      </c>
      <c r="AW14" s="772">
        <f>IF(AND(MONTH((DATE(1899,12,31)+(0*7+IF($I14&gt;60,$I14-1,$I14))))=$AW$8,YEAR((DATE(1899,12,31)+(0*7+IF($I14&gt;60,$I14-1,$I14))))=$AW$7),($H14*$C14),0)</f>
        <v>0</v>
      </c>
      <c r="AX14" s="772">
        <f>IF(AND(MONTH((DATE(1899,12,31)+(0*7+IF($I14&gt;60,$I14-1,$I14))))=$AX$8,YEAR((DATE(1899,12,31)+(0*7+IF($I14&gt;60,$I14-1,$I14))))=$AX$7),($H14*$C14),0)</f>
        <v>0</v>
      </c>
      <c r="AY14" s="772">
        <f>IF(AND(MONTH((DATE(1899,12,31)+(0*7+IF($I14&gt;60,$I14-1,$I14))))=$AY$8,YEAR((DATE(1899,12,31)+(0*7+IF($I14&gt;60,$I14-1,$I14))))=$AY$7),($H14*$C14),0)</f>
        <v>0</v>
      </c>
      <c r="AZ14" s="772">
        <f>IF(AND(MONTH((DATE(1899,12,31)+(0*7+IF($I14&gt;60,$I14-1,$I14))))=$AZ$8,YEAR((DATE(1899,12,31)+(0*7+IF($I14&gt;60,$I14-1,$I14))))=$AZ$7),($H14*$C14),0)</f>
        <v>0</v>
      </c>
      <c r="BA14" s="772">
        <f>IF(AND(MONTH((DATE(1899,12,31)+(0*7+IF($I14&gt;60,$I14-1,$I14))))=$BA$8,YEAR((DATE(1899,12,31)+(0*7+IF($I14&gt;60,$I14-1,$I14))))=$BA$7),($H14*$C14),0)</f>
        <v>0</v>
      </c>
      <c r="BB14" s="772">
        <f>IF(AND(MONTH((DATE(1899,12,31)+(0*7+IF($I14&gt;60,$I14-1,$I14))))=$BB$8,YEAR((DATE(1899,12,31)+(0*7+IF($I14&gt;60,$I14-1,$I14))))=$BB$7),($H14*$C14),0)</f>
        <v>0</v>
      </c>
      <c r="BC14" s="772">
        <f>IF(AND(MONTH((DATE(1899,12,31)+(0*7+IF($I14&gt;60,$I14-1,$I14))))=$BC$8,YEAR((DATE(1899,12,31)+(0*7+IF($I14&gt;60,$I14-1,$I14))))=$BC$7),($H14*$C14),0)</f>
        <v>0</v>
      </c>
      <c r="BD14" s="772">
        <f>IF(AND(MONTH((DATE(1899,12,31)+(0*7+IF($I14&gt;60,$I14-1,$I14))))=$BD$8,YEAR((DATE(1899,12,31)+(0*7+IF($I14&gt;60,$I14-1,$I14))))=$BD$7),($H14*$C14),0)</f>
        <v>0</v>
      </c>
      <c r="BE14" s="772">
        <f>IF(AND(MONTH((DATE(1899,12,31)+(0*7+IF($I14&gt;60,$I14-1,$I14))))=$BE$8,YEAR((DATE(1899,12,31)+(0*7+IF($I14&gt;60,$I14-1,$I14))))=$BE$7),($H14*$C14),0)</f>
        <v>0</v>
      </c>
      <c r="BF14" s="772">
        <f>IF(AND(MONTH((DATE(1899,12,31)+(0*7+IF($I14&gt;60,$I14-1,$I14))))=$BF$8,YEAR((DATE(1899,12,31)+(0*7+IF($I14&gt;60,$I14-1,$I14))))=$BF$7),($H14*$C14),0)</f>
        <v>0</v>
      </c>
      <c r="BG14" s="772">
        <f>IF(AND(MONTH((DATE(1899,12,31)+(0*7+IF($I14&gt;60,$I14-1,$I14))))=$BG$8,YEAR((DATE(1899,12,31)+(0*7+IF($I14&gt;60,$I14-1,$I14))))=$BG$7),($H14*$C14),0)</f>
        <v>0</v>
      </c>
      <c r="BH14" s="772">
        <f>IF(AND(MONTH((DATE(1899,12,31)+(0*7+IF($I14&gt;60,$I14-1,$I14))))=$BH$8,YEAR((DATE(1899,12,31)+(0*7+IF($I14&gt;60,$I14-1,$I14))))=$BH$7),($H14*$C14),0)</f>
        <v>0</v>
      </c>
      <c r="BI14" s="772">
        <f>IF(AND(MONTH((DATE(1899,12,31)+(0*7+IF($I14&gt;60,$I14-1,$I14))))=$BI$8,YEAR((DATE(1899,12,31)+(0*7+IF($I14&gt;60,$I14-1,$I14))))=$BI$7),($H14*$C14),0)</f>
        <v>0</v>
      </c>
      <c r="BJ14" s="772">
        <f>IF(AND(MONTH((DATE(1899,12,31)+(0*7+IF($I14&gt;60,$I14-1,$I14))))=$BJ$8,YEAR((DATE(1899,12,31)+(0*7+IF($I14&gt;60,$I14-1,$I14))))=$BJ$7),($H14*$C14),0)</f>
        <v>0</v>
      </c>
      <c r="BK14" s="772">
        <f>IF(AND(MONTH((DATE(1899,12,31)+(0*7+IF($I14&gt;60,$I14-1,$I14))))=$BK$8,YEAR((DATE(1899,12,31)+(0*7+IF($I14&gt;60,$I14-1,$I14))))=$BK$7),($H14*$C14),0)</f>
        <v>0</v>
      </c>
      <c r="BL14" s="772">
        <f>IF(AND(MONTH((DATE(1899,12,31)+(0*7+IF($I14&gt;60,$I14-1,$I14))))=$BL$8,YEAR((DATE(1899,12,31)+(0*7+IF($I14&gt;60,$I14-1,$I14))))=$BL$7),($H14*$C14),0)</f>
        <v>0</v>
      </c>
      <c r="BM14" s="772">
        <f>IF(AND(MONTH((DATE(1899,12,31)+(0*7+IF($I14&gt;60,$I14-1,$I14))))=$BM$8,YEAR((DATE(1899,12,31)+(0*7+IF($I14&gt;60,$I14-1,$I14))))=$BM$7),($H14*$C14),0)</f>
        <v>0</v>
      </c>
      <c r="BN14" s="772">
        <f>IF(AND(MONTH((DATE(1899,12,31)+(0*7+IF($I14&gt;60,$I14-1,$I14))))=$BN$8,YEAR((DATE(1899,12,31)+(0*7+IF($I14&gt;60,$I14-1,$I14))))=$BN$7),($H14*$C14),0)</f>
        <v>0</v>
      </c>
      <c r="BO14" s="772">
        <f>IF(AND(MONTH((DATE(1899,12,31)+(0*7+IF($I14&gt;60,$I14-1,$I14))))=$BO$8,YEAR((DATE(1899,12,31)+(0*7+IF($I14&gt;60,$I14-1,$I14))))=$BO$7),($H14*$C14),0)</f>
        <v>0</v>
      </c>
      <c r="BP14" s="772">
        <f>IF(AND(MONTH((DATE(1899,12,31)+(0*7+IF($I14&gt;60,$I14-1,$I14))))=$BP$8,YEAR((DATE(1899,12,31)+(0*7+IF($I14&gt;60,$I14-1,$I14))))=$BP$7),($H14*$C14),0)</f>
        <v>0</v>
      </c>
      <c r="BQ14" s="772">
        <f>IF(AND(MONTH((DATE(1899,12,31)+(0*7+IF($I14&gt;60,$I14-1,$I14))))=$BQ$8,YEAR((DATE(1899,12,31)+(0*7+IF($I14&gt;60,$I14-1,$I14))))=$BQ$7),($H14*$C14),0)</f>
        <v>0</v>
      </c>
      <c r="BR14" s="772">
        <f>IF(AND(MONTH((DATE(1899,12,31)+(0*7+IF($I14&gt;60,$I14-1,$I14))))=$BR$8,YEAR((DATE(1899,12,31)+(0*7+IF($I14&gt;60,$I14-1,$I14))))=$BR$7),($H14*$C14),0)</f>
        <v>0</v>
      </c>
      <c r="BS14" s="772">
        <f>IF(AND(MONTH((DATE(1899,12,31)+(0*7+IF($I14&gt;60,$I14-1,$I14))))=$BS$8,YEAR((DATE(1899,12,31)+(0*7+IF($I14&gt;60,$I14-1,$I14))))=$BS$7),($H14*$C14),0)</f>
        <v>0</v>
      </c>
      <c r="BT14" s="772">
        <f>IF(AND(MONTH((DATE(1899,12,31)+(0*7+IF($I14&gt;60,$I14-1,$I14))))=$BT$8,YEAR((DATE(1899,12,31)+(0*7+IF($I14&gt;60,$I14-1,$I14))))=$BT$7),($H14*$C14),0)</f>
        <v>0</v>
      </c>
      <c r="BU14" s="772">
        <f>IF(AND(MONTH((DATE(1899,12,31)+(0*7+IF($I14&gt;60,$I14-1,$I14))))=$BU$8,YEAR((DATE(1899,12,31)+(0*7+IF($I14&gt;60,$I14-1,$I14))))=$BU$7),($H14*$C14),0)</f>
        <v>0</v>
      </c>
      <c r="BV14" s="772">
        <f>IF(AND(MONTH((DATE(1899,12,31)+(0*7+IF($I14&gt;60,$I14-1,$I14))))=$BV$8,YEAR((DATE(1899,12,31)+(0*7+IF($I14&gt;60,$I14-1,$I14))))=$BV$7),($H14*$C14),0)</f>
        <v>0</v>
      </c>
      <c r="BW14" s="772">
        <f>IF(AND(MONTH((DATE(1899,12,31)+(0*7+IF($I14&gt;60,$I14-1,$I14))))=$BW$8,YEAR((DATE(1899,12,31)+(0*7+IF($I14&gt;60,$I14-1,$I14))))=$BW$7),($H14*$C14),0)</f>
        <v>0</v>
      </c>
      <c r="BX14" s="772">
        <f>IF(AND(MONTH((DATE(1899,12,31)+(0*7+IF($I14&gt;60,$I14-1,$I14))))=$BX$8,YEAR((DATE(1899,12,31)+(0*7+IF($I14&gt;60,$I14-1,$I14))))=$BX$7),($H14*$C14),0)</f>
        <v>0</v>
      </c>
      <c r="BY14" s="772">
        <f>IF(AND(MONTH((DATE(1899,12,31)+(0*7+IF($I14&gt;60,$I14-1,$I14))))=$BY$8,YEAR((DATE(1899,12,31)+(0*7+IF($I14&gt;60,$I14-1,$I14))))=$BY$7),($H14*$C14),0)</f>
        <v>0</v>
      </c>
      <c r="BZ14" s="772">
        <f>IF(AND(MONTH((DATE(1899,12,31)+(0*7+IF($I14&gt;60,$I14-1,$I14))))=$BZ$8,YEAR((DATE(1899,12,31)+(0*7+IF($I14&gt;60,$I14-1,$I14))))=$BZ$7),($H14*$C14),0)</f>
        <v>0</v>
      </c>
    </row>
    <row r="15" s="58" customFormat="1" ht="18" customHeight="1">
      <c r="B15" s="539"/>
      <c r="C15" s="539"/>
      <c r="D15" t="s" s="540">
        <f>LEFT(B15,1)</f>
      </c>
      <c r="E15" s="540">
        <f>IF(C15="",0,(IF(LEN(B15)=5,MID(B15,3,1),MID(B15,3,2))))</f>
        <v>0</v>
      </c>
      <c r="F15" s="540">
        <f>IF(U15="H","House",IF(U15="B","Bungalow",IF(U15="F","Flat",IF(U15="S","Shared",IF(U15="T","Bedsit",IF(U15="A","Wheelchair Flat",IF(U15="W","Wheelchair",0)))))))</f>
        <v>0</v>
      </c>
      <c r="G15" s="539"/>
      <c r="H15" s="541"/>
      <c r="I15" s="775"/>
      <c r="M15" s="759">
        <f>IF(C15=0,0,(C15*G15)/$G$21*$M$21)</f>
        <v>0</v>
      </c>
      <c r="N15" s="532"/>
      <c r="S15" s="532"/>
      <c r="T15" s="108"/>
      <c r="U15" t="s" s="62">
        <f>RIGHT(B15,1)</f>
      </c>
      <c r="AH15" t="s" s="90">
        <v>767</v>
      </c>
      <c r="AQ15" s="772">
        <f>IF(AND(MONTH((DATE(1899,12,31)+(0*7+IF($I15&gt;60,$I15-1,$I15))))=$AQ$8,YEAR((DATE(1899,12,31)+(0*7+IF($I15&gt;60,$I15-1,$I15))))=$AQ$7),($H15*$C15),0)</f>
        <v>0</v>
      </c>
      <c r="AR15" s="772">
        <f>IF(AND(MONTH((DATE(1899,12,31)+(0*7+IF($I15&gt;60,$I15-1,$I15))))=$AR$8,YEAR((DATE(1899,12,31)+(0*7+IF($I15&gt;60,$I15-1,$I15))))=$AR$7),($H15*$C15),0)</f>
        <v>0</v>
      </c>
      <c r="AS15" s="772">
        <f>IF(AND(MONTH((DATE(1899,12,31)+(0*7+IF($I15&gt;60,$I15-1,$I15))))=$AS$8,YEAR((DATE(1899,12,31)+(0*7+IF($I15&gt;60,$I15-1,$I15))))=$AS$7),($H15*$C15),0)</f>
        <v>0</v>
      </c>
      <c r="AT15" s="772">
        <f>IF(AND(MONTH((DATE(1899,12,31)+(0*7+IF($I15&gt;60,$I15-1,$I15))))=$AT$8,YEAR((DATE(1899,12,31)+(0*7+IF($I15&gt;60,$I15-1,$I15))))=$AT$7),($H15*$C15),0)</f>
        <v>0</v>
      </c>
      <c r="AU15" s="772">
        <f>IF(AND(MONTH((DATE(1899,12,31)+(0*7+IF($I15&gt;60,$I15-1,$I15))))=$AU$8,YEAR((DATE(1899,12,31)+(0*7+IF($I15&gt;60,$I15-1,$I15))))=$AU$7),($H15*$C15),0)</f>
        <v>0</v>
      </c>
      <c r="AV15" s="772">
        <f>IF(AND(MONTH((DATE(1899,12,31)+(0*7+IF($I15&gt;60,$I15-1,$I15))))=$AV$8,YEAR((DATE(1899,12,31)+(0*7+IF($I15&gt;60,$I15-1,$I15))))=$AV$7),($H15*$C15),0)</f>
        <v>0</v>
      </c>
      <c r="AW15" s="772">
        <f>IF(AND(MONTH((DATE(1899,12,31)+(0*7+IF($I15&gt;60,$I15-1,$I15))))=$AW$8,YEAR((DATE(1899,12,31)+(0*7+IF($I15&gt;60,$I15-1,$I15))))=$AW$7),($H15*$C15),0)</f>
        <v>0</v>
      </c>
      <c r="AX15" s="772">
        <f>IF(AND(MONTH((DATE(1899,12,31)+(0*7+IF($I15&gt;60,$I15-1,$I15))))=$AX$8,YEAR((DATE(1899,12,31)+(0*7+IF($I15&gt;60,$I15-1,$I15))))=$AX$7),($H15*$C15),0)</f>
        <v>0</v>
      </c>
      <c r="AY15" s="772">
        <f>IF(AND(MONTH((DATE(1899,12,31)+(0*7+IF($I15&gt;60,$I15-1,$I15))))=$AY$8,YEAR((DATE(1899,12,31)+(0*7+IF($I15&gt;60,$I15-1,$I15))))=$AY$7),($H15*$C15),0)</f>
        <v>0</v>
      </c>
      <c r="AZ15" s="772">
        <f>IF(AND(MONTH((DATE(1899,12,31)+(0*7+IF($I15&gt;60,$I15-1,$I15))))=$AZ$8,YEAR((DATE(1899,12,31)+(0*7+IF($I15&gt;60,$I15-1,$I15))))=$AZ$7),($H15*$C15),0)</f>
        <v>0</v>
      </c>
      <c r="BA15" s="772">
        <f>IF(AND(MONTH((DATE(1899,12,31)+(0*7+IF($I15&gt;60,$I15-1,$I15))))=$BA$8,YEAR((DATE(1899,12,31)+(0*7+IF($I15&gt;60,$I15-1,$I15))))=$BA$7),($H15*$C15),0)</f>
        <v>0</v>
      </c>
      <c r="BB15" s="772">
        <f>IF(AND(MONTH((DATE(1899,12,31)+(0*7+IF($I15&gt;60,$I15-1,$I15))))=$BB$8,YEAR((DATE(1899,12,31)+(0*7+IF($I15&gt;60,$I15-1,$I15))))=$BB$7),($H15*$C15),0)</f>
        <v>0</v>
      </c>
      <c r="BC15" s="772">
        <f>IF(AND(MONTH((DATE(1899,12,31)+(0*7+IF($I15&gt;60,$I15-1,$I15))))=$BC$8,YEAR((DATE(1899,12,31)+(0*7+IF($I15&gt;60,$I15-1,$I15))))=$BC$7),($H15*$C15),0)</f>
        <v>0</v>
      </c>
      <c r="BD15" s="772">
        <f>IF(AND(MONTH((DATE(1899,12,31)+(0*7+IF($I15&gt;60,$I15-1,$I15))))=$BD$8,YEAR((DATE(1899,12,31)+(0*7+IF($I15&gt;60,$I15-1,$I15))))=$BD$7),($H15*$C15),0)</f>
        <v>0</v>
      </c>
      <c r="BE15" s="772">
        <f>IF(AND(MONTH((DATE(1899,12,31)+(0*7+IF($I15&gt;60,$I15-1,$I15))))=$BE$8,YEAR((DATE(1899,12,31)+(0*7+IF($I15&gt;60,$I15-1,$I15))))=$BE$7),($H15*$C15),0)</f>
        <v>0</v>
      </c>
      <c r="BF15" s="772">
        <f>IF(AND(MONTH((DATE(1899,12,31)+(0*7+IF($I15&gt;60,$I15-1,$I15))))=$BF$8,YEAR((DATE(1899,12,31)+(0*7+IF($I15&gt;60,$I15-1,$I15))))=$BF$7),($H15*$C15),0)</f>
        <v>0</v>
      </c>
      <c r="BG15" s="772">
        <f>IF(AND(MONTH((DATE(1899,12,31)+(0*7+IF($I15&gt;60,$I15-1,$I15))))=$BG$8,YEAR((DATE(1899,12,31)+(0*7+IF($I15&gt;60,$I15-1,$I15))))=$BG$7),($H15*$C15),0)</f>
        <v>0</v>
      </c>
      <c r="BH15" s="772">
        <f>IF(AND(MONTH((DATE(1899,12,31)+(0*7+IF($I15&gt;60,$I15-1,$I15))))=$BH$8,YEAR((DATE(1899,12,31)+(0*7+IF($I15&gt;60,$I15-1,$I15))))=$BH$7),($H15*$C15),0)</f>
        <v>0</v>
      </c>
      <c r="BI15" s="772">
        <f>IF(AND(MONTH((DATE(1899,12,31)+(0*7+IF($I15&gt;60,$I15-1,$I15))))=$BI$8,YEAR((DATE(1899,12,31)+(0*7+IF($I15&gt;60,$I15-1,$I15))))=$BI$7),($H15*$C15),0)</f>
        <v>0</v>
      </c>
      <c r="BJ15" s="772">
        <f>IF(AND(MONTH((DATE(1899,12,31)+(0*7+IF($I15&gt;60,$I15-1,$I15))))=$BJ$8,YEAR((DATE(1899,12,31)+(0*7+IF($I15&gt;60,$I15-1,$I15))))=$BJ$7),($H15*$C15),0)</f>
        <v>0</v>
      </c>
      <c r="BK15" s="772">
        <f>IF(AND(MONTH((DATE(1899,12,31)+(0*7+IF($I15&gt;60,$I15-1,$I15))))=$BK$8,YEAR((DATE(1899,12,31)+(0*7+IF($I15&gt;60,$I15-1,$I15))))=$BK$7),($H15*$C15),0)</f>
        <v>0</v>
      </c>
      <c r="BL15" s="772">
        <f>IF(AND(MONTH((DATE(1899,12,31)+(0*7+IF($I15&gt;60,$I15-1,$I15))))=$BL$8,YEAR((DATE(1899,12,31)+(0*7+IF($I15&gt;60,$I15-1,$I15))))=$BL$7),($H15*$C15),0)</f>
        <v>0</v>
      </c>
      <c r="BM15" s="772">
        <f>IF(AND(MONTH((DATE(1899,12,31)+(0*7+IF($I15&gt;60,$I15-1,$I15))))=$BM$8,YEAR((DATE(1899,12,31)+(0*7+IF($I15&gt;60,$I15-1,$I15))))=$BM$7),($H15*$C15),0)</f>
        <v>0</v>
      </c>
      <c r="BN15" s="772">
        <f>IF(AND(MONTH((DATE(1899,12,31)+(0*7+IF($I15&gt;60,$I15-1,$I15))))=$BN$8,YEAR((DATE(1899,12,31)+(0*7+IF($I15&gt;60,$I15-1,$I15))))=$BN$7),($H15*$C15),0)</f>
        <v>0</v>
      </c>
      <c r="BO15" s="772">
        <f>IF(AND(MONTH((DATE(1899,12,31)+(0*7+IF($I15&gt;60,$I15-1,$I15))))=$BO$8,YEAR((DATE(1899,12,31)+(0*7+IF($I15&gt;60,$I15-1,$I15))))=$BO$7),($H15*$C15),0)</f>
        <v>0</v>
      </c>
      <c r="BP15" s="772">
        <f>IF(AND(MONTH((DATE(1899,12,31)+(0*7+IF($I15&gt;60,$I15-1,$I15))))=$BP$8,YEAR((DATE(1899,12,31)+(0*7+IF($I15&gt;60,$I15-1,$I15))))=$BP$7),($H15*$C15),0)</f>
        <v>0</v>
      </c>
      <c r="BQ15" s="772">
        <f>IF(AND(MONTH((DATE(1899,12,31)+(0*7+IF($I15&gt;60,$I15-1,$I15))))=$BQ$8,YEAR((DATE(1899,12,31)+(0*7+IF($I15&gt;60,$I15-1,$I15))))=$BQ$7),($H15*$C15),0)</f>
        <v>0</v>
      </c>
      <c r="BR15" s="772">
        <f>IF(AND(MONTH((DATE(1899,12,31)+(0*7+IF($I15&gt;60,$I15-1,$I15))))=$BR$8,YEAR((DATE(1899,12,31)+(0*7+IF($I15&gt;60,$I15-1,$I15))))=$BR$7),($H15*$C15),0)</f>
        <v>0</v>
      </c>
      <c r="BS15" s="772">
        <f>IF(AND(MONTH((DATE(1899,12,31)+(0*7+IF($I15&gt;60,$I15-1,$I15))))=$BS$8,YEAR((DATE(1899,12,31)+(0*7+IF($I15&gt;60,$I15-1,$I15))))=$BS$7),($H15*$C15),0)</f>
        <v>0</v>
      </c>
      <c r="BT15" s="772">
        <f>IF(AND(MONTH((DATE(1899,12,31)+(0*7+IF($I15&gt;60,$I15-1,$I15))))=$BT$8,YEAR((DATE(1899,12,31)+(0*7+IF($I15&gt;60,$I15-1,$I15))))=$BT$7),($H15*$C15),0)</f>
        <v>0</v>
      </c>
      <c r="BU15" s="772">
        <f>IF(AND(MONTH((DATE(1899,12,31)+(0*7+IF($I15&gt;60,$I15-1,$I15))))=$BU$8,YEAR((DATE(1899,12,31)+(0*7+IF($I15&gt;60,$I15-1,$I15))))=$BU$7),($H15*$C15),0)</f>
        <v>0</v>
      </c>
      <c r="BV15" s="772">
        <f>IF(AND(MONTH((DATE(1899,12,31)+(0*7+IF($I15&gt;60,$I15-1,$I15))))=$BV$8,YEAR((DATE(1899,12,31)+(0*7+IF($I15&gt;60,$I15-1,$I15))))=$BV$7),($H15*$C15),0)</f>
        <v>0</v>
      </c>
      <c r="BW15" s="772">
        <f>IF(AND(MONTH((DATE(1899,12,31)+(0*7+IF($I15&gt;60,$I15-1,$I15))))=$BW$8,YEAR((DATE(1899,12,31)+(0*7+IF($I15&gt;60,$I15-1,$I15))))=$BW$7),($H15*$C15),0)</f>
        <v>0</v>
      </c>
      <c r="BX15" s="772">
        <f>IF(AND(MONTH((DATE(1899,12,31)+(0*7+IF($I15&gt;60,$I15-1,$I15))))=$BX$8,YEAR((DATE(1899,12,31)+(0*7+IF($I15&gt;60,$I15-1,$I15))))=$BX$7),($H15*$C15),0)</f>
        <v>0</v>
      </c>
      <c r="BY15" s="772">
        <f>IF(AND(MONTH((DATE(1899,12,31)+(0*7+IF($I15&gt;60,$I15-1,$I15))))=$BY$8,YEAR((DATE(1899,12,31)+(0*7+IF($I15&gt;60,$I15-1,$I15))))=$BY$7),($H15*$C15),0)</f>
        <v>0</v>
      </c>
      <c r="BZ15" s="772">
        <f>IF(AND(MONTH((DATE(1899,12,31)+(0*7+IF($I15&gt;60,$I15-1,$I15))))=$BZ$8,YEAR((DATE(1899,12,31)+(0*7+IF($I15&gt;60,$I15-1,$I15))))=$BZ$7),($H15*$C15),0)</f>
        <v>0</v>
      </c>
    </row>
    <row r="16" s="58" customFormat="1" ht="18" customHeight="1">
      <c r="B16" s="539"/>
      <c r="C16" s="539"/>
      <c r="D16" t="s" s="540">
        <f>LEFT(B16,1)</f>
      </c>
      <c r="E16" s="540">
        <f>IF(C16="",0,(IF(LEN(B16)=5,MID(B16,3,1),MID(B16,3,2))))</f>
        <v>0</v>
      </c>
      <c r="F16" s="540">
        <f>IF(U16="H","House",IF(U16="B","Bungalow",IF(U16="F","Flat",IF(U16="S","Shared",IF(U16="T","Bedsit",IF(U16="A","Wheelchair Flat",IF(U16="W","Wheelchair",0)))))))</f>
        <v>0</v>
      </c>
      <c r="G16" s="539"/>
      <c r="H16" s="541"/>
      <c r="I16" s="775"/>
      <c r="M16" s="759">
        <f>IF(C16=0,0,(C16*G16)/$G$21*$M$21)</f>
        <v>0</v>
      </c>
      <c r="N16" s="532"/>
      <c r="S16" s="532"/>
      <c r="T16" s="108"/>
      <c r="U16" t="s" s="62">
        <f>RIGHT(B16,1)</f>
      </c>
      <c r="AH16" t="s" s="90">
        <v>769</v>
      </c>
      <c r="AQ16" s="772">
        <f>IF(AND(MONTH((DATE(1899,12,31)+(0*7+IF($I16&gt;60,$I16-1,$I16))))=$AQ$8,YEAR((DATE(1899,12,31)+(0*7+IF($I16&gt;60,$I16-1,$I16))))=$AQ$7),($H16*$C16),0)</f>
        <v>0</v>
      </c>
      <c r="AR16" s="772">
        <f>IF(AND(MONTH((DATE(1899,12,31)+(0*7+IF($I16&gt;60,$I16-1,$I16))))=$AR$8,YEAR((DATE(1899,12,31)+(0*7+IF($I16&gt;60,$I16-1,$I16))))=$AR$7),($H16*$C16),0)</f>
        <v>0</v>
      </c>
      <c r="AS16" s="772">
        <f>IF(AND(MONTH((DATE(1899,12,31)+(0*7+IF($I16&gt;60,$I16-1,$I16))))=$AS$8,YEAR((DATE(1899,12,31)+(0*7+IF($I16&gt;60,$I16-1,$I16))))=$AS$7),($H16*$C16),0)</f>
        <v>0</v>
      </c>
      <c r="AT16" s="772">
        <f>IF(AND(MONTH((DATE(1899,12,31)+(0*7+IF($I16&gt;60,$I16-1,$I16))))=$AT$8,YEAR((DATE(1899,12,31)+(0*7+IF($I16&gt;60,$I16-1,$I16))))=$AT$7),($H16*$C16),0)</f>
        <v>0</v>
      </c>
      <c r="AU16" s="772">
        <f>IF(AND(MONTH((DATE(1899,12,31)+(0*7+IF($I16&gt;60,$I16-1,$I16))))=$AU$8,YEAR((DATE(1899,12,31)+(0*7+IF($I16&gt;60,$I16-1,$I16))))=$AU$7),($H16*$C16),0)</f>
        <v>0</v>
      </c>
      <c r="AV16" s="772">
        <f>IF(AND(MONTH((DATE(1899,12,31)+(0*7+IF($I16&gt;60,$I16-1,$I16))))=$AV$8,YEAR((DATE(1899,12,31)+(0*7+IF($I16&gt;60,$I16-1,$I16))))=$AV$7),($H16*$C16),0)</f>
        <v>0</v>
      </c>
      <c r="AW16" s="772">
        <f>IF(AND(MONTH((DATE(1899,12,31)+(0*7+IF($I16&gt;60,$I16-1,$I16))))=$AW$8,YEAR((DATE(1899,12,31)+(0*7+IF($I16&gt;60,$I16-1,$I16))))=$AW$7),($H16*$C16),0)</f>
        <v>0</v>
      </c>
      <c r="AX16" s="772">
        <f>IF(AND(MONTH((DATE(1899,12,31)+(0*7+IF($I16&gt;60,$I16-1,$I16))))=$AX$8,YEAR((DATE(1899,12,31)+(0*7+IF($I16&gt;60,$I16-1,$I16))))=$AX$7),($H16*$C16),0)</f>
        <v>0</v>
      </c>
      <c r="AY16" s="772">
        <f>IF(AND(MONTH((DATE(1899,12,31)+(0*7+IF($I16&gt;60,$I16-1,$I16))))=$AY$8,YEAR((DATE(1899,12,31)+(0*7+IF($I16&gt;60,$I16-1,$I16))))=$AY$7),($H16*$C16),0)</f>
        <v>0</v>
      </c>
      <c r="AZ16" s="772">
        <f>IF(AND(MONTH((DATE(1899,12,31)+(0*7+IF($I16&gt;60,$I16-1,$I16))))=$AZ$8,YEAR((DATE(1899,12,31)+(0*7+IF($I16&gt;60,$I16-1,$I16))))=$AZ$7),($H16*$C16),0)</f>
        <v>0</v>
      </c>
      <c r="BA16" s="772">
        <f>IF(AND(MONTH((DATE(1899,12,31)+(0*7+IF($I16&gt;60,$I16-1,$I16))))=$BA$8,YEAR((DATE(1899,12,31)+(0*7+IF($I16&gt;60,$I16-1,$I16))))=$BA$7),($H16*$C16),0)</f>
        <v>0</v>
      </c>
      <c r="BB16" s="772">
        <f>IF(AND(MONTH((DATE(1899,12,31)+(0*7+IF($I16&gt;60,$I16-1,$I16))))=$BB$8,YEAR((DATE(1899,12,31)+(0*7+IF($I16&gt;60,$I16-1,$I16))))=$BB$7),($H16*$C16),0)</f>
        <v>0</v>
      </c>
      <c r="BC16" s="772">
        <f>IF(AND(MONTH((DATE(1899,12,31)+(0*7+IF($I16&gt;60,$I16-1,$I16))))=$BC$8,YEAR((DATE(1899,12,31)+(0*7+IF($I16&gt;60,$I16-1,$I16))))=$BC$7),($H16*$C16),0)</f>
        <v>0</v>
      </c>
      <c r="BD16" s="772">
        <f>IF(AND(MONTH((DATE(1899,12,31)+(0*7+IF($I16&gt;60,$I16-1,$I16))))=$BD$8,YEAR((DATE(1899,12,31)+(0*7+IF($I16&gt;60,$I16-1,$I16))))=$BD$7),($H16*$C16),0)</f>
        <v>0</v>
      </c>
      <c r="BE16" s="772">
        <f>IF(AND(MONTH((DATE(1899,12,31)+(0*7+IF($I16&gt;60,$I16-1,$I16))))=$BE$8,YEAR((DATE(1899,12,31)+(0*7+IF($I16&gt;60,$I16-1,$I16))))=$BE$7),($H16*$C16),0)</f>
        <v>0</v>
      </c>
      <c r="BF16" s="772">
        <f>IF(AND(MONTH((DATE(1899,12,31)+(0*7+IF($I16&gt;60,$I16-1,$I16))))=$BF$8,YEAR((DATE(1899,12,31)+(0*7+IF($I16&gt;60,$I16-1,$I16))))=$BF$7),($H16*$C16),0)</f>
        <v>0</v>
      </c>
      <c r="BG16" s="772">
        <f>IF(AND(MONTH((DATE(1899,12,31)+(0*7+IF($I16&gt;60,$I16-1,$I16))))=$BG$8,YEAR((DATE(1899,12,31)+(0*7+IF($I16&gt;60,$I16-1,$I16))))=$BG$7),($H16*$C16),0)</f>
        <v>0</v>
      </c>
      <c r="BH16" s="772">
        <f>IF(AND(MONTH((DATE(1899,12,31)+(0*7+IF($I16&gt;60,$I16-1,$I16))))=$BH$8,YEAR((DATE(1899,12,31)+(0*7+IF($I16&gt;60,$I16-1,$I16))))=$BH$7),($H16*$C16),0)</f>
        <v>0</v>
      </c>
      <c r="BI16" s="772">
        <f>IF(AND(MONTH((DATE(1899,12,31)+(0*7+IF($I16&gt;60,$I16-1,$I16))))=$BI$8,YEAR((DATE(1899,12,31)+(0*7+IF($I16&gt;60,$I16-1,$I16))))=$BI$7),($H16*$C16),0)</f>
        <v>0</v>
      </c>
      <c r="BJ16" s="772">
        <f>IF(AND(MONTH((DATE(1899,12,31)+(0*7+IF($I16&gt;60,$I16-1,$I16))))=$BJ$8,YEAR((DATE(1899,12,31)+(0*7+IF($I16&gt;60,$I16-1,$I16))))=$BJ$7),($H16*$C16),0)</f>
        <v>0</v>
      </c>
      <c r="BK16" s="772">
        <f>IF(AND(MONTH((DATE(1899,12,31)+(0*7+IF($I16&gt;60,$I16-1,$I16))))=$BK$8,YEAR((DATE(1899,12,31)+(0*7+IF($I16&gt;60,$I16-1,$I16))))=$BK$7),($H16*$C16),0)</f>
        <v>0</v>
      </c>
      <c r="BL16" s="772">
        <f>IF(AND(MONTH((DATE(1899,12,31)+(0*7+IF($I16&gt;60,$I16-1,$I16))))=$BL$8,YEAR((DATE(1899,12,31)+(0*7+IF($I16&gt;60,$I16-1,$I16))))=$BL$7),($H16*$C16),0)</f>
        <v>0</v>
      </c>
      <c r="BM16" s="772">
        <f>IF(AND(MONTH((DATE(1899,12,31)+(0*7+IF($I16&gt;60,$I16-1,$I16))))=$BM$8,YEAR((DATE(1899,12,31)+(0*7+IF($I16&gt;60,$I16-1,$I16))))=$BM$7),($H16*$C16),0)</f>
        <v>0</v>
      </c>
      <c r="BN16" s="772">
        <f>IF(AND(MONTH((DATE(1899,12,31)+(0*7+IF($I16&gt;60,$I16-1,$I16))))=$BN$8,YEAR((DATE(1899,12,31)+(0*7+IF($I16&gt;60,$I16-1,$I16))))=$BN$7),($H16*$C16),0)</f>
        <v>0</v>
      </c>
      <c r="BO16" s="772">
        <f>IF(AND(MONTH((DATE(1899,12,31)+(0*7+IF($I16&gt;60,$I16-1,$I16))))=$BO$8,YEAR((DATE(1899,12,31)+(0*7+IF($I16&gt;60,$I16-1,$I16))))=$BO$7),($H16*$C16),0)</f>
        <v>0</v>
      </c>
      <c r="BP16" s="772">
        <f>IF(AND(MONTH((DATE(1899,12,31)+(0*7+IF($I16&gt;60,$I16-1,$I16))))=$BP$8,YEAR((DATE(1899,12,31)+(0*7+IF($I16&gt;60,$I16-1,$I16))))=$BP$7),($H16*$C16),0)</f>
        <v>0</v>
      </c>
      <c r="BQ16" s="772">
        <f>IF(AND(MONTH((DATE(1899,12,31)+(0*7+IF($I16&gt;60,$I16-1,$I16))))=$BQ$8,YEAR((DATE(1899,12,31)+(0*7+IF($I16&gt;60,$I16-1,$I16))))=$BQ$7),($H16*$C16),0)</f>
        <v>0</v>
      </c>
      <c r="BR16" s="772">
        <f>IF(AND(MONTH((DATE(1899,12,31)+(0*7+IF($I16&gt;60,$I16-1,$I16))))=$BR$8,YEAR((DATE(1899,12,31)+(0*7+IF($I16&gt;60,$I16-1,$I16))))=$BR$7),($H16*$C16),0)</f>
        <v>0</v>
      </c>
      <c r="BS16" s="772">
        <f>IF(AND(MONTH((DATE(1899,12,31)+(0*7+IF($I16&gt;60,$I16-1,$I16))))=$BS$8,YEAR((DATE(1899,12,31)+(0*7+IF($I16&gt;60,$I16-1,$I16))))=$BS$7),($H16*$C16),0)</f>
        <v>0</v>
      </c>
      <c r="BT16" s="772">
        <f>IF(AND(MONTH((DATE(1899,12,31)+(0*7+IF($I16&gt;60,$I16-1,$I16))))=$BT$8,YEAR((DATE(1899,12,31)+(0*7+IF($I16&gt;60,$I16-1,$I16))))=$BT$7),($H16*$C16),0)</f>
        <v>0</v>
      </c>
      <c r="BU16" s="772">
        <f>IF(AND(MONTH((DATE(1899,12,31)+(0*7+IF($I16&gt;60,$I16-1,$I16))))=$BU$8,YEAR((DATE(1899,12,31)+(0*7+IF($I16&gt;60,$I16-1,$I16))))=$BU$7),($H16*$C16),0)</f>
        <v>0</v>
      </c>
      <c r="BV16" s="772">
        <f>IF(AND(MONTH((DATE(1899,12,31)+(0*7+IF($I16&gt;60,$I16-1,$I16))))=$BV$8,YEAR((DATE(1899,12,31)+(0*7+IF($I16&gt;60,$I16-1,$I16))))=$BV$7),($H16*$C16),0)</f>
        <v>0</v>
      </c>
      <c r="BW16" s="772">
        <f>IF(AND(MONTH((DATE(1899,12,31)+(0*7+IF($I16&gt;60,$I16-1,$I16))))=$BW$8,YEAR((DATE(1899,12,31)+(0*7+IF($I16&gt;60,$I16-1,$I16))))=$BW$7),($H16*$C16),0)</f>
        <v>0</v>
      </c>
      <c r="BX16" s="772">
        <f>IF(AND(MONTH((DATE(1899,12,31)+(0*7+IF($I16&gt;60,$I16-1,$I16))))=$BX$8,YEAR((DATE(1899,12,31)+(0*7+IF($I16&gt;60,$I16-1,$I16))))=$BX$7),($H16*$C16),0)</f>
        <v>0</v>
      </c>
      <c r="BY16" s="772">
        <f>IF(AND(MONTH((DATE(1899,12,31)+(0*7+IF($I16&gt;60,$I16-1,$I16))))=$BY$8,YEAR((DATE(1899,12,31)+(0*7+IF($I16&gt;60,$I16-1,$I16))))=$BY$7),($H16*$C16),0)</f>
        <v>0</v>
      </c>
      <c r="BZ16" s="772">
        <f>IF(AND(MONTH((DATE(1899,12,31)+(0*7+IF($I16&gt;60,$I16-1,$I16))))=$BZ$8,YEAR((DATE(1899,12,31)+(0*7+IF($I16&gt;60,$I16-1,$I16))))=$BZ$7),($H16*$C16),0)</f>
        <v>0</v>
      </c>
    </row>
    <row r="17" s="58" customFormat="1" ht="18" customHeight="1">
      <c r="B17" s="539"/>
      <c r="C17" s="539"/>
      <c r="D17" t="s" s="540">
        <f>LEFT(B17,1)</f>
      </c>
      <c r="E17" s="540">
        <f>IF(C17="",0,(IF(LEN(B17)=5,MID(B17,3,1),MID(B17,3,2))))</f>
        <v>0</v>
      </c>
      <c r="F17" s="540">
        <f>IF(U17="H","House",IF(U17="B","Bungalow",IF(U17="F","Flat",IF(U17="S","Shared",IF(U17="T","Bedsit",IF(U17="A","Wheelchair Flat",IF(U17="W","Wheelchair",0)))))))</f>
        <v>0</v>
      </c>
      <c r="G17" s="539"/>
      <c r="H17" s="541"/>
      <c r="I17" s="775"/>
      <c r="M17" s="759">
        <f>IF(C17=0,0,(C17*G17)/$G$21*$M$21)</f>
        <v>0</v>
      </c>
      <c r="N17" s="532"/>
      <c r="S17" s="532"/>
      <c r="T17" s="108"/>
      <c r="U17" t="s" s="62">
        <f>RIGHT(B17,1)</f>
      </c>
      <c r="AH17" t="s" s="90">
        <v>772</v>
      </c>
      <c r="AQ17" s="772">
        <f>IF(AND(MONTH((DATE(1899,12,31)+(0*7+IF($I17&gt;60,$I17-1,$I17))))=$AQ$8,YEAR((DATE(1899,12,31)+(0*7+IF($I17&gt;60,$I17-1,$I17))))=$AQ$7),($H17*$C17),0)</f>
        <v>0</v>
      </c>
      <c r="AR17" s="772">
        <f>IF(AND(MONTH((DATE(1899,12,31)+(0*7+IF($I17&gt;60,$I17-1,$I17))))=$AR$8,YEAR((DATE(1899,12,31)+(0*7+IF($I17&gt;60,$I17-1,$I17))))=$AR$7),($H17*$C17),0)</f>
        <v>0</v>
      </c>
      <c r="AS17" s="772">
        <f>IF(AND(MONTH((DATE(1899,12,31)+(0*7+IF($I17&gt;60,$I17-1,$I17))))=$AS$8,YEAR((DATE(1899,12,31)+(0*7+IF($I17&gt;60,$I17-1,$I17))))=$AS$7),($H17*$C17),0)</f>
        <v>0</v>
      </c>
      <c r="AT17" s="772">
        <f>IF(AND(MONTH((DATE(1899,12,31)+(0*7+IF($I17&gt;60,$I17-1,$I17))))=$AT$8,YEAR((DATE(1899,12,31)+(0*7+IF($I17&gt;60,$I17-1,$I17))))=$AT$7),($H17*$C17),0)</f>
        <v>0</v>
      </c>
      <c r="AU17" s="772">
        <f>IF(AND(MONTH((DATE(1899,12,31)+(0*7+IF($I17&gt;60,$I17-1,$I17))))=$AU$8,YEAR((DATE(1899,12,31)+(0*7+IF($I17&gt;60,$I17-1,$I17))))=$AU$7),($H17*$C17),0)</f>
        <v>0</v>
      </c>
      <c r="AV17" s="772">
        <f>IF(AND(MONTH((DATE(1899,12,31)+(0*7+IF($I17&gt;60,$I17-1,$I17))))=$AV$8,YEAR((DATE(1899,12,31)+(0*7+IF($I17&gt;60,$I17-1,$I17))))=$AV$7),($H17*$C17),0)</f>
        <v>0</v>
      </c>
      <c r="AW17" s="772">
        <f>IF(AND(MONTH((DATE(1899,12,31)+(0*7+IF($I17&gt;60,$I17-1,$I17))))=$AW$8,YEAR((DATE(1899,12,31)+(0*7+IF($I17&gt;60,$I17-1,$I17))))=$AW$7),($H17*$C17),0)</f>
        <v>0</v>
      </c>
      <c r="AX17" s="772">
        <f>IF(AND(MONTH((DATE(1899,12,31)+(0*7+IF($I17&gt;60,$I17-1,$I17))))=$AX$8,YEAR((DATE(1899,12,31)+(0*7+IF($I17&gt;60,$I17-1,$I17))))=$AX$7),($H17*$C17),0)</f>
        <v>0</v>
      </c>
      <c r="AY17" s="772">
        <f>IF(AND(MONTH((DATE(1899,12,31)+(0*7+IF($I17&gt;60,$I17-1,$I17))))=$AY$8,YEAR((DATE(1899,12,31)+(0*7+IF($I17&gt;60,$I17-1,$I17))))=$AY$7),($H17*$C17),0)</f>
        <v>0</v>
      </c>
      <c r="AZ17" s="772">
        <f>IF(AND(MONTH((DATE(1899,12,31)+(0*7+IF($I17&gt;60,$I17-1,$I17))))=$AZ$8,YEAR((DATE(1899,12,31)+(0*7+IF($I17&gt;60,$I17-1,$I17))))=$AZ$7),($H17*$C17),0)</f>
        <v>0</v>
      </c>
      <c r="BA17" s="772">
        <f>IF(AND(MONTH((DATE(1899,12,31)+(0*7+IF($I17&gt;60,$I17-1,$I17))))=$BA$8,YEAR((DATE(1899,12,31)+(0*7+IF($I17&gt;60,$I17-1,$I17))))=$BA$7),($H17*$C17),0)</f>
        <v>0</v>
      </c>
      <c r="BB17" s="772">
        <f>IF(AND(MONTH((DATE(1899,12,31)+(0*7+IF($I17&gt;60,$I17-1,$I17))))=$BB$8,YEAR((DATE(1899,12,31)+(0*7+IF($I17&gt;60,$I17-1,$I17))))=$BB$7),($H17*$C17),0)</f>
        <v>0</v>
      </c>
      <c r="BC17" s="772">
        <f>IF(AND(MONTH((DATE(1899,12,31)+(0*7+IF($I17&gt;60,$I17-1,$I17))))=$BC$8,YEAR((DATE(1899,12,31)+(0*7+IF($I17&gt;60,$I17-1,$I17))))=$BC$7),($H17*$C17),0)</f>
        <v>0</v>
      </c>
      <c r="BD17" s="772">
        <f>IF(AND(MONTH((DATE(1899,12,31)+(0*7+IF($I17&gt;60,$I17-1,$I17))))=$BD$8,YEAR((DATE(1899,12,31)+(0*7+IF($I17&gt;60,$I17-1,$I17))))=$BD$7),($H17*$C17),0)</f>
        <v>0</v>
      </c>
      <c r="BE17" s="772">
        <f>IF(AND(MONTH((DATE(1899,12,31)+(0*7+IF($I17&gt;60,$I17-1,$I17))))=$BE$8,YEAR((DATE(1899,12,31)+(0*7+IF($I17&gt;60,$I17-1,$I17))))=$BE$7),($H17*$C17),0)</f>
        <v>0</v>
      </c>
      <c r="BF17" s="772">
        <f>IF(AND(MONTH((DATE(1899,12,31)+(0*7+IF($I17&gt;60,$I17-1,$I17))))=$BF$8,YEAR((DATE(1899,12,31)+(0*7+IF($I17&gt;60,$I17-1,$I17))))=$BF$7),($H17*$C17),0)</f>
        <v>0</v>
      </c>
      <c r="BG17" s="772">
        <f>IF(AND(MONTH((DATE(1899,12,31)+(0*7+IF($I17&gt;60,$I17-1,$I17))))=$BG$8,YEAR((DATE(1899,12,31)+(0*7+IF($I17&gt;60,$I17-1,$I17))))=$BG$7),($H17*$C17),0)</f>
        <v>0</v>
      </c>
      <c r="BH17" s="772">
        <f>IF(AND(MONTH((DATE(1899,12,31)+(0*7+IF($I17&gt;60,$I17-1,$I17))))=$BH$8,YEAR((DATE(1899,12,31)+(0*7+IF($I17&gt;60,$I17-1,$I17))))=$BH$7),($H17*$C17),0)</f>
        <v>0</v>
      </c>
      <c r="BI17" s="772">
        <f>IF(AND(MONTH((DATE(1899,12,31)+(0*7+IF($I17&gt;60,$I17-1,$I17))))=$BI$8,YEAR((DATE(1899,12,31)+(0*7+IF($I17&gt;60,$I17-1,$I17))))=$BI$7),($H17*$C17),0)</f>
        <v>0</v>
      </c>
      <c r="BJ17" s="772">
        <f>IF(AND(MONTH((DATE(1899,12,31)+(0*7+IF($I17&gt;60,$I17-1,$I17))))=$BJ$8,YEAR((DATE(1899,12,31)+(0*7+IF($I17&gt;60,$I17-1,$I17))))=$BJ$7),($H17*$C17),0)</f>
        <v>0</v>
      </c>
      <c r="BK17" s="772">
        <f>IF(AND(MONTH((DATE(1899,12,31)+(0*7+IF($I17&gt;60,$I17-1,$I17))))=$BK$8,YEAR((DATE(1899,12,31)+(0*7+IF($I17&gt;60,$I17-1,$I17))))=$BK$7),($H17*$C17),0)</f>
        <v>0</v>
      </c>
      <c r="BL17" s="772">
        <f>IF(AND(MONTH((DATE(1899,12,31)+(0*7+IF($I17&gt;60,$I17-1,$I17))))=$BL$8,YEAR((DATE(1899,12,31)+(0*7+IF($I17&gt;60,$I17-1,$I17))))=$BL$7),($H17*$C17),0)</f>
        <v>0</v>
      </c>
      <c r="BM17" s="772">
        <f>IF(AND(MONTH((DATE(1899,12,31)+(0*7+IF($I17&gt;60,$I17-1,$I17))))=$BM$8,YEAR((DATE(1899,12,31)+(0*7+IF($I17&gt;60,$I17-1,$I17))))=$BM$7),($H17*$C17),0)</f>
        <v>0</v>
      </c>
      <c r="BN17" s="772">
        <f>IF(AND(MONTH((DATE(1899,12,31)+(0*7+IF($I17&gt;60,$I17-1,$I17))))=$BN$8,YEAR((DATE(1899,12,31)+(0*7+IF($I17&gt;60,$I17-1,$I17))))=$BN$7),($H17*$C17),0)</f>
        <v>0</v>
      </c>
      <c r="BO17" s="772">
        <f>IF(AND(MONTH((DATE(1899,12,31)+(0*7+IF($I17&gt;60,$I17-1,$I17))))=$BO$8,YEAR((DATE(1899,12,31)+(0*7+IF($I17&gt;60,$I17-1,$I17))))=$BO$7),($H17*$C17),0)</f>
        <v>0</v>
      </c>
      <c r="BP17" s="772">
        <f>IF(AND(MONTH((DATE(1899,12,31)+(0*7+IF($I17&gt;60,$I17-1,$I17))))=$BP$8,YEAR((DATE(1899,12,31)+(0*7+IF($I17&gt;60,$I17-1,$I17))))=$BP$7),($H17*$C17),0)</f>
        <v>0</v>
      </c>
      <c r="BQ17" s="772">
        <f>IF(AND(MONTH((DATE(1899,12,31)+(0*7+IF($I17&gt;60,$I17-1,$I17))))=$BQ$8,YEAR((DATE(1899,12,31)+(0*7+IF($I17&gt;60,$I17-1,$I17))))=$BQ$7),($H17*$C17),0)</f>
        <v>0</v>
      </c>
      <c r="BR17" s="772">
        <f>IF(AND(MONTH((DATE(1899,12,31)+(0*7+IF($I17&gt;60,$I17-1,$I17))))=$BR$8,YEAR((DATE(1899,12,31)+(0*7+IF($I17&gt;60,$I17-1,$I17))))=$BR$7),($H17*$C17),0)</f>
        <v>0</v>
      </c>
      <c r="BS17" s="772">
        <f>IF(AND(MONTH((DATE(1899,12,31)+(0*7+IF($I17&gt;60,$I17-1,$I17))))=$BS$8,YEAR((DATE(1899,12,31)+(0*7+IF($I17&gt;60,$I17-1,$I17))))=$BS$7),($H17*$C17),0)</f>
        <v>0</v>
      </c>
      <c r="BT17" s="772">
        <f>IF(AND(MONTH((DATE(1899,12,31)+(0*7+IF($I17&gt;60,$I17-1,$I17))))=$BT$8,YEAR((DATE(1899,12,31)+(0*7+IF($I17&gt;60,$I17-1,$I17))))=$BT$7),($H17*$C17),0)</f>
        <v>0</v>
      </c>
      <c r="BU17" s="772">
        <f>IF(AND(MONTH((DATE(1899,12,31)+(0*7+IF($I17&gt;60,$I17-1,$I17))))=$BU$8,YEAR((DATE(1899,12,31)+(0*7+IF($I17&gt;60,$I17-1,$I17))))=$BU$7),($H17*$C17),0)</f>
        <v>0</v>
      </c>
      <c r="BV17" s="772">
        <f>IF(AND(MONTH((DATE(1899,12,31)+(0*7+IF($I17&gt;60,$I17-1,$I17))))=$BV$8,YEAR((DATE(1899,12,31)+(0*7+IF($I17&gt;60,$I17-1,$I17))))=$BV$7),($H17*$C17),0)</f>
        <v>0</v>
      </c>
      <c r="BW17" s="772">
        <f>IF(AND(MONTH((DATE(1899,12,31)+(0*7+IF($I17&gt;60,$I17-1,$I17))))=$BW$8,YEAR((DATE(1899,12,31)+(0*7+IF($I17&gt;60,$I17-1,$I17))))=$BW$7),($H17*$C17),0)</f>
        <v>0</v>
      </c>
      <c r="BX17" s="772">
        <f>IF(AND(MONTH((DATE(1899,12,31)+(0*7+IF($I17&gt;60,$I17-1,$I17))))=$BX$8,YEAR((DATE(1899,12,31)+(0*7+IF($I17&gt;60,$I17-1,$I17))))=$BX$7),($H17*$C17),0)</f>
        <v>0</v>
      </c>
      <c r="BY17" s="772">
        <f>IF(AND(MONTH((DATE(1899,12,31)+(0*7+IF($I17&gt;60,$I17-1,$I17))))=$BY$8,YEAR((DATE(1899,12,31)+(0*7+IF($I17&gt;60,$I17-1,$I17))))=$BY$7),($H17*$C17),0)</f>
        <v>0</v>
      </c>
      <c r="BZ17" s="772">
        <f>IF(AND(MONTH((DATE(1899,12,31)+(0*7+IF($I17&gt;60,$I17-1,$I17))))=$BZ$8,YEAR((DATE(1899,12,31)+(0*7+IF($I17&gt;60,$I17-1,$I17))))=$BZ$7),($H17*$C17),0)</f>
        <v>0</v>
      </c>
    </row>
    <row r="18" s="58" customFormat="1" ht="18" customHeight="1">
      <c r="B18" s="539"/>
      <c r="C18" s="539"/>
      <c r="D18" t="s" s="540">
        <f>LEFT(B18,1)</f>
      </c>
      <c r="E18" s="540">
        <f>IF(C18="",0,(IF(LEN(B18)=5,MID(B18,3,1),MID(B18,3,2))))</f>
        <v>0</v>
      </c>
      <c r="F18" s="540">
        <f>IF(U18="H","House",IF(U18="B","Bungalow",IF(U18="F","Flat",IF(U18="S","Shared",IF(U18="T","Bedsit",IF(U18="A","Wheelchair Flat",IF(U18="W","Wheelchair",0)))))))</f>
        <v>0</v>
      </c>
      <c r="G18" s="539"/>
      <c r="H18" s="541"/>
      <c r="I18" s="775"/>
      <c r="M18" s="759">
        <f>IF(C18=0,0,(C18*G18)/$G$21*$M$21)</f>
        <v>0</v>
      </c>
      <c r="N18" s="532"/>
      <c r="S18" s="532"/>
      <c r="T18" s="108"/>
      <c r="U18" t="s" s="62">
        <f>RIGHT(B18,1)</f>
      </c>
      <c r="AH18" t="s" s="90">
        <v>775</v>
      </c>
      <c r="AQ18" s="772">
        <f>IF(AND(MONTH((DATE(1899,12,31)+(0*7+IF($I18&gt;60,$I18-1,$I18))))=$AQ$8,YEAR((DATE(1899,12,31)+(0*7+IF($I18&gt;60,$I18-1,$I18))))=$AQ$7),($H18*$C18),0)</f>
        <v>0</v>
      </c>
      <c r="AR18" s="772">
        <f>IF(AND(MONTH((DATE(1899,12,31)+(0*7+IF($I18&gt;60,$I18-1,$I18))))=$AR$8,YEAR((DATE(1899,12,31)+(0*7+IF($I18&gt;60,$I18-1,$I18))))=$AR$7),($H18*$C18),0)</f>
        <v>0</v>
      </c>
      <c r="AS18" s="772">
        <f>IF(AND(MONTH((DATE(1899,12,31)+(0*7+IF($I18&gt;60,$I18-1,$I18))))=$AS$8,YEAR((DATE(1899,12,31)+(0*7+IF($I18&gt;60,$I18-1,$I18))))=$AS$7),($H18*$C18),0)</f>
        <v>0</v>
      </c>
      <c r="AT18" s="772">
        <f>IF(AND(MONTH((DATE(1899,12,31)+(0*7+IF($I18&gt;60,$I18-1,$I18))))=$AT$8,YEAR((DATE(1899,12,31)+(0*7+IF($I18&gt;60,$I18-1,$I18))))=$AT$7),($H18*$C18),0)</f>
        <v>0</v>
      </c>
      <c r="AU18" s="772">
        <f>IF(AND(MONTH((DATE(1899,12,31)+(0*7+IF($I18&gt;60,$I18-1,$I18))))=$AU$8,YEAR((DATE(1899,12,31)+(0*7+IF($I18&gt;60,$I18-1,$I18))))=$AU$7),($H18*$C18),0)</f>
        <v>0</v>
      </c>
      <c r="AV18" s="772">
        <f>IF(AND(MONTH((DATE(1899,12,31)+(0*7+IF($I18&gt;60,$I18-1,$I18))))=$AV$8,YEAR((DATE(1899,12,31)+(0*7+IF($I18&gt;60,$I18-1,$I18))))=$AV$7),($H18*$C18),0)</f>
        <v>0</v>
      </c>
      <c r="AW18" s="772">
        <f>IF(AND(MONTH((DATE(1899,12,31)+(0*7+IF($I18&gt;60,$I18-1,$I18))))=$AW$8,YEAR((DATE(1899,12,31)+(0*7+IF($I18&gt;60,$I18-1,$I18))))=$AW$7),($H18*$C18),0)</f>
        <v>0</v>
      </c>
      <c r="AX18" s="772">
        <f>IF(AND(MONTH((DATE(1899,12,31)+(0*7+IF($I18&gt;60,$I18-1,$I18))))=$AX$8,YEAR((DATE(1899,12,31)+(0*7+IF($I18&gt;60,$I18-1,$I18))))=$AX$7),($H18*$C18),0)</f>
        <v>0</v>
      </c>
      <c r="AY18" s="772">
        <f>IF(AND(MONTH((DATE(1899,12,31)+(0*7+IF($I18&gt;60,$I18-1,$I18))))=$AY$8,YEAR((DATE(1899,12,31)+(0*7+IF($I18&gt;60,$I18-1,$I18))))=$AY$7),($H18*$C18),0)</f>
        <v>0</v>
      </c>
      <c r="AZ18" s="772">
        <f>IF(AND(MONTH((DATE(1899,12,31)+(0*7+IF($I18&gt;60,$I18-1,$I18))))=$AZ$8,YEAR((DATE(1899,12,31)+(0*7+IF($I18&gt;60,$I18-1,$I18))))=$AZ$7),($H18*$C18),0)</f>
        <v>0</v>
      </c>
      <c r="BA18" s="772">
        <f>IF(AND(MONTH((DATE(1899,12,31)+(0*7+IF($I18&gt;60,$I18-1,$I18))))=$BA$8,YEAR((DATE(1899,12,31)+(0*7+IF($I18&gt;60,$I18-1,$I18))))=$BA$7),($H18*$C18),0)</f>
        <v>0</v>
      </c>
      <c r="BB18" s="772">
        <f>IF(AND(MONTH((DATE(1899,12,31)+(0*7+IF($I18&gt;60,$I18-1,$I18))))=$BB$8,YEAR((DATE(1899,12,31)+(0*7+IF($I18&gt;60,$I18-1,$I18))))=$BB$7),($H18*$C18),0)</f>
        <v>0</v>
      </c>
      <c r="BC18" s="772">
        <f>IF(AND(MONTH((DATE(1899,12,31)+(0*7+IF($I18&gt;60,$I18-1,$I18))))=$BC$8,YEAR((DATE(1899,12,31)+(0*7+IF($I18&gt;60,$I18-1,$I18))))=$BC$7),($H18*$C18),0)</f>
        <v>0</v>
      </c>
      <c r="BD18" s="772">
        <f>IF(AND(MONTH((DATE(1899,12,31)+(0*7+IF($I18&gt;60,$I18-1,$I18))))=$BD$8,YEAR((DATE(1899,12,31)+(0*7+IF($I18&gt;60,$I18-1,$I18))))=$BD$7),($H18*$C18),0)</f>
        <v>0</v>
      </c>
      <c r="BE18" s="772">
        <f>IF(AND(MONTH((DATE(1899,12,31)+(0*7+IF($I18&gt;60,$I18-1,$I18))))=$BE$8,YEAR((DATE(1899,12,31)+(0*7+IF($I18&gt;60,$I18-1,$I18))))=$BE$7),($H18*$C18),0)</f>
        <v>0</v>
      </c>
      <c r="BF18" s="772">
        <f>IF(AND(MONTH((DATE(1899,12,31)+(0*7+IF($I18&gt;60,$I18-1,$I18))))=$BF$8,YEAR((DATE(1899,12,31)+(0*7+IF($I18&gt;60,$I18-1,$I18))))=$BF$7),($H18*$C18),0)</f>
        <v>0</v>
      </c>
      <c r="BG18" s="772">
        <f>IF(AND(MONTH((DATE(1899,12,31)+(0*7+IF($I18&gt;60,$I18-1,$I18))))=$BG$8,YEAR((DATE(1899,12,31)+(0*7+IF($I18&gt;60,$I18-1,$I18))))=$BG$7),($H18*$C18),0)</f>
        <v>0</v>
      </c>
      <c r="BH18" s="772">
        <f>IF(AND(MONTH((DATE(1899,12,31)+(0*7+IF($I18&gt;60,$I18-1,$I18))))=$BH$8,YEAR((DATE(1899,12,31)+(0*7+IF($I18&gt;60,$I18-1,$I18))))=$BH$7),($H18*$C18),0)</f>
        <v>0</v>
      </c>
      <c r="BI18" s="772">
        <f>IF(AND(MONTH((DATE(1899,12,31)+(0*7+IF($I18&gt;60,$I18-1,$I18))))=$BI$8,YEAR((DATE(1899,12,31)+(0*7+IF($I18&gt;60,$I18-1,$I18))))=$BI$7),($H18*$C18),0)</f>
        <v>0</v>
      </c>
      <c r="BJ18" s="772">
        <f>IF(AND(MONTH((DATE(1899,12,31)+(0*7+IF($I18&gt;60,$I18-1,$I18))))=$BJ$8,YEAR((DATE(1899,12,31)+(0*7+IF($I18&gt;60,$I18-1,$I18))))=$BJ$7),($H18*$C18),0)</f>
        <v>0</v>
      </c>
      <c r="BK18" s="772">
        <f>IF(AND(MONTH((DATE(1899,12,31)+(0*7+IF($I18&gt;60,$I18-1,$I18))))=$BK$8,YEAR((DATE(1899,12,31)+(0*7+IF($I18&gt;60,$I18-1,$I18))))=$BK$7),($H18*$C18),0)</f>
        <v>0</v>
      </c>
      <c r="BL18" s="772">
        <f>IF(AND(MONTH((DATE(1899,12,31)+(0*7+IF($I18&gt;60,$I18-1,$I18))))=$BL$8,YEAR((DATE(1899,12,31)+(0*7+IF($I18&gt;60,$I18-1,$I18))))=$BL$7),($H18*$C18),0)</f>
        <v>0</v>
      </c>
      <c r="BM18" s="772">
        <f>IF(AND(MONTH((DATE(1899,12,31)+(0*7+IF($I18&gt;60,$I18-1,$I18))))=$BM$8,YEAR((DATE(1899,12,31)+(0*7+IF($I18&gt;60,$I18-1,$I18))))=$BM$7),($H18*$C18),0)</f>
        <v>0</v>
      </c>
      <c r="BN18" s="772">
        <f>IF(AND(MONTH((DATE(1899,12,31)+(0*7+IF($I18&gt;60,$I18-1,$I18))))=$BN$8,YEAR((DATE(1899,12,31)+(0*7+IF($I18&gt;60,$I18-1,$I18))))=$BN$7),($H18*$C18),0)</f>
        <v>0</v>
      </c>
      <c r="BO18" s="772">
        <f>IF(AND(MONTH((DATE(1899,12,31)+(0*7+IF($I18&gt;60,$I18-1,$I18))))=$BO$8,YEAR((DATE(1899,12,31)+(0*7+IF($I18&gt;60,$I18-1,$I18))))=$BO$7),($H18*$C18),0)</f>
        <v>0</v>
      </c>
      <c r="BP18" s="772">
        <f>IF(AND(MONTH((DATE(1899,12,31)+(0*7+IF($I18&gt;60,$I18-1,$I18))))=$BP$8,YEAR((DATE(1899,12,31)+(0*7+IF($I18&gt;60,$I18-1,$I18))))=$BP$7),($H18*$C18),0)</f>
        <v>0</v>
      </c>
      <c r="BQ18" s="772">
        <f>IF(AND(MONTH((DATE(1899,12,31)+(0*7+IF($I18&gt;60,$I18-1,$I18))))=$BQ$8,YEAR((DATE(1899,12,31)+(0*7+IF($I18&gt;60,$I18-1,$I18))))=$BQ$7),($H18*$C18),0)</f>
        <v>0</v>
      </c>
      <c r="BR18" s="772">
        <f>IF(AND(MONTH((DATE(1899,12,31)+(0*7+IF($I18&gt;60,$I18-1,$I18))))=$BR$8,YEAR((DATE(1899,12,31)+(0*7+IF($I18&gt;60,$I18-1,$I18))))=$BR$7),($H18*$C18),0)</f>
        <v>0</v>
      </c>
      <c r="BS18" s="772">
        <f>IF(AND(MONTH((DATE(1899,12,31)+(0*7+IF($I18&gt;60,$I18-1,$I18))))=$BS$8,YEAR((DATE(1899,12,31)+(0*7+IF($I18&gt;60,$I18-1,$I18))))=$BS$7),($H18*$C18),0)</f>
        <v>0</v>
      </c>
      <c r="BT18" s="772">
        <f>IF(AND(MONTH((DATE(1899,12,31)+(0*7+IF($I18&gt;60,$I18-1,$I18))))=$BT$8,YEAR((DATE(1899,12,31)+(0*7+IF($I18&gt;60,$I18-1,$I18))))=$BT$7),($H18*$C18),0)</f>
        <v>0</v>
      </c>
      <c r="BU18" s="772">
        <f>IF(AND(MONTH((DATE(1899,12,31)+(0*7+IF($I18&gt;60,$I18-1,$I18))))=$BU$8,YEAR((DATE(1899,12,31)+(0*7+IF($I18&gt;60,$I18-1,$I18))))=$BU$7),($H18*$C18),0)</f>
        <v>0</v>
      </c>
      <c r="BV18" s="772">
        <f>IF(AND(MONTH((DATE(1899,12,31)+(0*7+IF($I18&gt;60,$I18-1,$I18))))=$BV$8,YEAR((DATE(1899,12,31)+(0*7+IF($I18&gt;60,$I18-1,$I18))))=$BV$7),($H18*$C18),0)</f>
        <v>0</v>
      </c>
      <c r="BW18" s="772">
        <f>IF(AND(MONTH((DATE(1899,12,31)+(0*7+IF($I18&gt;60,$I18-1,$I18))))=$BW$8,YEAR((DATE(1899,12,31)+(0*7+IF($I18&gt;60,$I18-1,$I18))))=$BW$7),($H18*$C18),0)</f>
        <v>0</v>
      </c>
      <c r="BX18" s="772">
        <f>IF(AND(MONTH((DATE(1899,12,31)+(0*7+IF($I18&gt;60,$I18-1,$I18))))=$BX$8,YEAR((DATE(1899,12,31)+(0*7+IF($I18&gt;60,$I18-1,$I18))))=$BX$7),($H18*$C18),0)</f>
        <v>0</v>
      </c>
      <c r="BY18" s="772">
        <f>IF(AND(MONTH((DATE(1899,12,31)+(0*7+IF($I18&gt;60,$I18-1,$I18))))=$BY$8,YEAR((DATE(1899,12,31)+(0*7+IF($I18&gt;60,$I18-1,$I18))))=$BY$7),($H18*$C18),0)</f>
        <v>0</v>
      </c>
      <c r="BZ18" s="772">
        <f>IF(AND(MONTH((DATE(1899,12,31)+(0*7+IF($I18&gt;60,$I18-1,$I18))))=$BZ$8,YEAR((DATE(1899,12,31)+(0*7+IF($I18&gt;60,$I18-1,$I18))))=$BZ$7),($H18*$C18),0)</f>
        <v>0</v>
      </c>
    </row>
    <row r="19" s="58" customFormat="1" ht="18" customHeight="1">
      <c r="B19" s="539"/>
      <c r="C19" s="539"/>
      <c r="D19" t="s" s="540">
        <f>LEFT(B19,1)</f>
      </c>
      <c r="E19" s="540">
        <f>IF(C19="",0,(IF(LEN(B19)=5,MID(B19,3,1),MID(B19,3,2))))</f>
        <v>0</v>
      </c>
      <c r="F19" s="540">
        <f>IF(U19="H","House",IF(U19="B","Bungalow",IF(U19="F","Flat",IF(U19="S","Shared",IF(U19="T","Bedsit",IF(U19="A","Wheelchair Flat",IF(U19="W","Wheelchair",0)))))))</f>
        <v>0</v>
      </c>
      <c r="G19" s="539"/>
      <c r="H19" s="541"/>
      <c r="I19" s="775"/>
      <c r="M19" s="759">
        <f>IF(C19=0,0,(C19*G19)/$G$21*$M$21)</f>
        <v>0</v>
      </c>
      <c r="N19" s="532"/>
      <c r="S19" s="532"/>
      <c r="T19" s="108"/>
      <c r="U19" t="s" s="62">
        <f>RIGHT(B19,1)</f>
      </c>
      <c r="AH19" t="s" s="90">
        <v>779</v>
      </c>
      <c r="AQ19" s="772">
        <f>IF(AND(MONTH((DATE(1899,12,31)+(0*7+IF($I19&gt;60,$I19-1,$I19))))=$AQ$8,YEAR((DATE(1899,12,31)+(0*7+IF($I19&gt;60,$I19-1,$I19))))=$AQ$7),($H19*$C19),0)</f>
        <v>0</v>
      </c>
      <c r="AR19" s="772">
        <f>IF(AND(MONTH((DATE(1899,12,31)+(0*7+IF($I19&gt;60,$I19-1,$I19))))=$AR$8,YEAR((DATE(1899,12,31)+(0*7+IF($I19&gt;60,$I19-1,$I19))))=$AR$7),($H19*$C19),0)</f>
        <v>0</v>
      </c>
      <c r="AS19" s="772">
        <f>IF(AND(MONTH((DATE(1899,12,31)+(0*7+IF($I19&gt;60,$I19-1,$I19))))=$AS$8,YEAR((DATE(1899,12,31)+(0*7+IF($I19&gt;60,$I19-1,$I19))))=$AS$7),($H19*$C19),0)</f>
        <v>0</v>
      </c>
      <c r="AT19" s="772">
        <f>IF(AND(MONTH((DATE(1899,12,31)+(0*7+IF($I19&gt;60,$I19-1,$I19))))=$AT$8,YEAR((DATE(1899,12,31)+(0*7+IF($I19&gt;60,$I19-1,$I19))))=$AT$7),($H19*$C19),0)</f>
        <v>0</v>
      </c>
      <c r="AU19" s="772">
        <f>IF(AND(MONTH((DATE(1899,12,31)+(0*7+IF($I19&gt;60,$I19-1,$I19))))=$AU$8,YEAR((DATE(1899,12,31)+(0*7+IF($I19&gt;60,$I19-1,$I19))))=$AU$7),($H19*$C19),0)</f>
        <v>0</v>
      </c>
      <c r="AV19" s="772">
        <f>IF(AND(MONTH((DATE(1899,12,31)+(0*7+IF($I19&gt;60,$I19-1,$I19))))=$AV$8,YEAR((DATE(1899,12,31)+(0*7+IF($I19&gt;60,$I19-1,$I19))))=$AV$7),($H19*$C19),0)</f>
        <v>0</v>
      </c>
      <c r="AW19" s="772">
        <f>IF(AND(MONTH((DATE(1899,12,31)+(0*7+IF($I19&gt;60,$I19-1,$I19))))=$AW$8,YEAR((DATE(1899,12,31)+(0*7+IF($I19&gt;60,$I19-1,$I19))))=$AW$7),($H19*$C19),0)</f>
        <v>0</v>
      </c>
      <c r="AX19" s="772">
        <f>IF(AND(MONTH((DATE(1899,12,31)+(0*7+IF($I19&gt;60,$I19-1,$I19))))=$AX$8,YEAR((DATE(1899,12,31)+(0*7+IF($I19&gt;60,$I19-1,$I19))))=$AX$7),($H19*$C19),0)</f>
        <v>0</v>
      </c>
      <c r="AY19" s="772">
        <f>IF(AND(MONTH((DATE(1899,12,31)+(0*7+IF($I19&gt;60,$I19-1,$I19))))=$AY$8,YEAR((DATE(1899,12,31)+(0*7+IF($I19&gt;60,$I19-1,$I19))))=$AY$7),($H19*$C19),0)</f>
        <v>0</v>
      </c>
      <c r="AZ19" s="772">
        <f>IF(AND(MONTH((DATE(1899,12,31)+(0*7+IF($I19&gt;60,$I19-1,$I19))))=$AZ$8,YEAR((DATE(1899,12,31)+(0*7+IF($I19&gt;60,$I19-1,$I19))))=$AZ$7),($H19*$C19),0)</f>
        <v>0</v>
      </c>
      <c r="BA19" s="772">
        <f>IF(AND(MONTH((DATE(1899,12,31)+(0*7+IF($I19&gt;60,$I19-1,$I19))))=$BA$8,YEAR((DATE(1899,12,31)+(0*7+IF($I19&gt;60,$I19-1,$I19))))=$BA$7),($H19*$C19),0)</f>
        <v>0</v>
      </c>
      <c r="BB19" s="772">
        <f>IF(AND(MONTH((DATE(1899,12,31)+(0*7+IF($I19&gt;60,$I19-1,$I19))))=$BB$8,YEAR((DATE(1899,12,31)+(0*7+IF($I19&gt;60,$I19-1,$I19))))=$BB$7),($H19*$C19),0)</f>
        <v>0</v>
      </c>
      <c r="BC19" s="772">
        <f>IF(AND(MONTH((DATE(1899,12,31)+(0*7+IF($I19&gt;60,$I19-1,$I19))))=$BC$8,YEAR((DATE(1899,12,31)+(0*7+IF($I19&gt;60,$I19-1,$I19))))=$BC$7),($H19*$C19),0)</f>
        <v>0</v>
      </c>
      <c r="BD19" s="772">
        <f>IF(AND(MONTH((DATE(1899,12,31)+(0*7+IF($I19&gt;60,$I19-1,$I19))))=$BD$8,YEAR((DATE(1899,12,31)+(0*7+IF($I19&gt;60,$I19-1,$I19))))=$BD$7),($H19*$C19),0)</f>
        <v>0</v>
      </c>
      <c r="BE19" s="772">
        <f>IF(AND(MONTH((DATE(1899,12,31)+(0*7+IF($I19&gt;60,$I19-1,$I19))))=$BE$8,YEAR((DATE(1899,12,31)+(0*7+IF($I19&gt;60,$I19-1,$I19))))=$BE$7),($H19*$C19),0)</f>
        <v>0</v>
      </c>
      <c r="BF19" s="772">
        <f>IF(AND(MONTH((DATE(1899,12,31)+(0*7+IF($I19&gt;60,$I19-1,$I19))))=$BF$8,YEAR((DATE(1899,12,31)+(0*7+IF($I19&gt;60,$I19-1,$I19))))=$BF$7),($H19*$C19),0)</f>
        <v>0</v>
      </c>
      <c r="BG19" s="772">
        <f>IF(AND(MONTH((DATE(1899,12,31)+(0*7+IF($I19&gt;60,$I19-1,$I19))))=$BG$8,YEAR((DATE(1899,12,31)+(0*7+IF($I19&gt;60,$I19-1,$I19))))=$BG$7),($H19*$C19),0)</f>
        <v>0</v>
      </c>
      <c r="BH19" s="772">
        <f>IF(AND(MONTH((DATE(1899,12,31)+(0*7+IF($I19&gt;60,$I19-1,$I19))))=$BH$8,YEAR((DATE(1899,12,31)+(0*7+IF($I19&gt;60,$I19-1,$I19))))=$BH$7),($H19*$C19),0)</f>
        <v>0</v>
      </c>
      <c r="BI19" s="772">
        <f>IF(AND(MONTH((DATE(1899,12,31)+(0*7+IF($I19&gt;60,$I19-1,$I19))))=$BI$8,YEAR((DATE(1899,12,31)+(0*7+IF($I19&gt;60,$I19-1,$I19))))=$BI$7),($H19*$C19),0)</f>
        <v>0</v>
      </c>
      <c r="BJ19" s="772">
        <f>IF(AND(MONTH((DATE(1899,12,31)+(0*7+IF($I19&gt;60,$I19-1,$I19))))=$BJ$8,YEAR((DATE(1899,12,31)+(0*7+IF($I19&gt;60,$I19-1,$I19))))=$BJ$7),($H19*$C19),0)</f>
        <v>0</v>
      </c>
      <c r="BK19" s="772">
        <f>IF(AND(MONTH((DATE(1899,12,31)+(0*7+IF($I19&gt;60,$I19-1,$I19))))=$BK$8,YEAR((DATE(1899,12,31)+(0*7+IF($I19&gt;60,$I19-1,$I19))))=$BK$7),($H19*$C19),0)</f>
        <v>0</v>
      </c>
      <c r="BL19" s="772">
        <f>IF(AND(MONTH((DATE(1899,12,31)+(0*7+IF($I19&gt;60,$I19-1,$I19))))=$BL$8,YEAR((DATE(1899,12,31)+(0*7+IF($I19&gt;60,$I19-1,$I19))))=$BL$7),($H19*$C19),0)</f>
        <v>0</v>
      </c>
      <c r="BM19" s="772">
        <f>IF(AND(MONTH((DATE(1899,12,31)+(0*7+IF($I19&gt;60,$I19-1,$I19))))=$BM$8,YEAR((DATE(1899,12,31)+(0*7+IF($I19&gt;60,$I19-1,$I19))))=$BM$7),($H19*$C19),0)</f>
        <v>0</v>
      </c>
      <c r="BN19" s="772">
        <f>IF(AND(MONTH((DATE(1899,12,31)+(0*7+IF($I19&gt;60,$I19-1,$I19))))=$BN$8,YEAR((DATE(1899,12,31)+(0*7+IF($I19&gt;60,$I19-1,$I19))))=$BN$7),($H19*$C19),0)</f>
        <v>0</v>
      </c>
      <c r="BO19" s="772">
        <f>IF(AND(MONTH((DATE(1899,12,31)+(0*7+IF($I19&gt;60,$I19-1,$I19))))=$BO$8,YEAR((DATE(1899,12,31)+(0*7+IF($I19&gt;60,$I19-1,$I19))))=$BO$7),($H19*$C19),0)</f>
        <v>0</v>
      </c>
      <c r="BP19" s="772">
        <f>IF(AND(MONTH((DATE(1899,12,31)+(0*7+IF($I19&gt;60,$I19-1,$I19))))=$BP$8,YEAR((DATE(1899,12,31)+(0*7+IF($I19&gt;60,$I19-1,$I19))))=$BP$7),($H19*$C19),0)</f>
        <v>0</v>
      </c>
      <c r="BQ19" s="772">
        <f>IF(AND(MONTH((DATE(1899,12,31)+(0*7+IF($I19&gt;60,$I19-1,$I19))))=$BQ$8,YEAR((DATE(1899,12,31)+(0*7+IF($I19&gt;60,$I19-1,$I19))))=$BQ$7),($H19*$C19),0)</f>
        <v>0</v>
      </c>
      <c r="BR19" s="772">
        <f>IF(AND(MONTH((DATE(1899,12,31)+(0*7+IF($I19&gt;60,$I19-1,$I19))))=$BR$8,YEAR((DATE(1899,12,31)+(0*7+IF($I19&gt;60,$I19-1,$I19))))=$BR$7),($H19*$C19),0)</f>
        <v>0</v>
      </c>
      <c r="BS19" s="772">
        <f>IF(AND(MONTH((DATE(1899,12,31)+(0*7+IF($I19&gt;60,$I19-1,$I19))))=$BS$8,YEAR((DATE(1899,12,31)+(0*7+IF($I19&gt;60,$I19-1,$I19))))=$BS$7),($H19*$C19),0)</f>
        <v>0</v>
      </c>
      <c r="BT19" s="772">
        <f>IF(AND(MONTH((DATE(1899,12,31)+(0*7+IF($I19&gt;60,$I19-1,$I19))))=$BT$8,YEAR((DATE(1899,12,31)+(0*7+IF($I19&gt;60,$I19-1,$I19))))=$BT$7),($H19*$C19),0)</f>
        <v>0</v>
      </c>
      <c r="BU19" s="772">
        <f>IF(AND(MONTH((DATE(1899,12,31)+(0*7+IF($I19&gt;60,$I19-1,$I19))))=$BU$8,YEAR((DATE(1899,12,31)+(0*7+IF($I19&gt;60,$I19-1,$I19))))=$BU$7),($H19*$C19),0)</f>
        <v>0</v>
      </c>
      <c r="BV19" s="772">
        <f>IF(AND(MONTH((DATE(1899,12,31)+(0*7+IF($I19&gt;60,$I19-1,$I19))))=$BV$8,YEAR((DATE(1899,12,31)+(0*7+IF($I19&gt;60,$I19-1,$I19))))=$BV$7),($H19*$C19),0)</f>
        <v>0</v>
      </c>
      <c r="BW19" s="772">
        <f>IF(AND(MONTH((DATE(1899,12,31)+(0*7+IF($I19&gt;60,$I19-1,$I19))))=$BW$8,YEAR((DATE(1899,12,31)+(0*7+IF($I19&gt;60,$I19-1,$I19))))=$BW$7),($H19*$C19),0)</f>
        <v>0</v>
      </c>
      <c r="BX19" s="772">
        <f>IF(AND(MONTH((DATE(1899,12,31)+(0*7+IF($I19&gt;60,$I19-1,$I19))))=$BX$8,YEAR((DATE(1899,12,31)+(0*7+IF($I19&gt;60,$I19-1,$I19))))=$BX$7),($H19*$C19),0)</f>
        <v>0</v>
      </c>
      <c r="BY19" s="772">
        <f>IF(AND(MONTH((DATE(1899,12,31)+(0*7+IF($I19&gt;60,$I19-1,$I19))))=$BY$8,YEAR((DATE(1899,12,31)+(0*7+IF($I19&gt;60,$I19-1,$I19))))=$BY$7),($H19*$C19),0)</f>
        <v>0</v>
      </c>
      <c r="BZ19" s="772">
        <f>IF(AND(MONTH((DATE(1899,12,31)+(0*7+IF($I19&gt;60,$I19-1,$I19))))=$BZ$8,YEAR((DATE(1899,12,31)+(0*7+IF($I19&gt;60,$I19-1,$I19))))=$BZ$7),($H19*$C19),0)</f>
        <v>0</v>
      </c>
    </row>
    <row r="20" s="58" customFormat="1" ht="18" customHeight="1">
      <c r="B20" s="539"/>
      <c r="C20" s="560"/>
      <c r="D20" t="s" s="540">
        <f>LEFT(B20,1)</f>
      </c>
      <c r="E20" s="561">
        <f>IF(C20="",0,(IF(LEN(B20)=5,MID(B20,3,1),MID(B20,3,2))))</f>
        <v>0</v>
      </c>
      <c r="F20" s="540">
        <f>IF(U20="H","House",IF(U20="B","Bungalow",IF(U20="F","Flat",IF(U20="S","Shared",IF(U20="T","Bedsit",IF(U20="A","Wheelchair Flat",IF(U20="W","Wheelchair",0)))))))</f>
        <v>0</v>
      </c>
      <c r="G20" s="560"/>
      <c r="H20" s="562"/>
      <c r="I20" s="779"/>
      <c r="M20" s="759">
        <f>IF(C20=0,0,(C20*G20)/$G$21*$M$21)</f>
        <v>0</v>
      </c>
      <c r="N20" s="532"/>
      <c r="S20" s="532"/>
      <c r="T20" s="108"/>
      <c r="U20" t="s" s="62">
        <f>RIGHT(B20,1)</f>
      </c>
      <c r="AH20" t="s" s="90">
        <v>783</v>
      </c>
      <c r="AQ20" s="772">
        <f>IF(AND(MONTH((DATE(1899,12,31)+(0*7+IF($I20&gt;60,$I20-1,$I20))))=$AQ$8,YEAR((DATE(1899,12,31)+(0*7+IF($I20&gt;60,$I20-1,$I20))))=$AQ$7),($H20*$C20),0)</f>
        <v>0</v>
      </c>
      <c r="AR20" s="772">
        <f>IF(AND(MONTH((DATE(1899,12,31)+(0*7+IF($I20&gt;60,$I20-1,$I20))))=$AR$8,YEAR((DATE(1899,12,31)+(0*7+IF($I20&gt;60,$I20-1,$I20))))=$AR$7),($H20*$C20),0)</f>
        <v>0</v>
      </c>
      <c r="AS20" s="772">
        <f>IF(AND(MONTH((DATE(1899,12,31)+(0*7+IF($I20&gt;60,$I20-1,$I20))))=$AS$8,YEAR((DATE(1899,12,31)+(0*7+IF($I20&gt;60,$I20-1,$I20))))=$AS$7),($H20*$C20),0)</f>
        <v>0</v>
      </c>
      <c r="AT20" s="772">
        <f>IF(AND(MONTH((DATE(1899,12,31)+(0*7+IF($I20&gt;60,$I20-1,$I20))))=$AT$8,YEAR((DATE(1899,12,31)+(0*7+IF($I20&gt;60,$I20-1,$I20))))=$AT$7),($H20*$C20),0)</f>
        <v>0</v>
      </c>
      <c r="AU20" s="772">
        <f>IF(AND(MONTH((DATE(1899,12,31)+(0*7+IF($I20&gt;60,$I20-1,$I20))))=$AU$8,YEAR((DATE(1899,12,31)+(0*7+IF($I20&gt;60,$I20-1,$I20))))=$AU$7),($H20*$C20),0)</f>
        <v>0</v>
      </c>
      <c r="AV20" s="772">
        <f>IF(AND(MONTH((DATE(1899,12,31)+(0*7+IF($I20&gt;60,$I20-1,$I20))))=$AV$8,YEAR((DATE(1899,12,31)+(0*7+IF($I20&gt;60,$I20-1,$I20))))=$AV$7),($H20*$C20),0)</f>
        <v>0</v>
      </c>
      <c r="AW20" s="772">
        <f>IF(AND(MONTH((DATE(1899,12,31)+(0*7+IF($I20&gt;60,$I20-1,$I20))))=$AW$8,YEAR((DATE(1899,12,31)+(0*7+IF($I20&gt;60,$I20-1,$I20))))=$AW$7),($H20*$C20),0)</f>
        <v>0</v>
      </c>
      <c r="AX20" s="772">
        <f>IF(AND(MONTH((DATE(1899,12,31)+(0*7+IF($I20&gt;60,$I20-1,$I20))))=$AX$8,YEAR((DATE(1899,12,31)+(0*7+IF($I20&gt;60,$I20-1,$I20))))=$AX$7),($H20*$C20),0)</f>
        <v>0</v>
      </c>
      <c r="AY20" s="772">
        <f>IF(AND(MONTH((DATE(1899,12,31)+(0*7+IF($I20&gt;60,$I20-1,$I20))))=$AY$8,YEAR((DATE(1899,12,31)+(0*7+IF($I20&gt;60,$I20-1,$I20))))=$AY$7),($H20*$C20),0)</f>
        <v>0</v>
      </c>
      <c r="AZ20" s="772">
        <f>IF(AND(MONTH((DATE(1899,12,31)+(0*7+IF($I20&gt;60,$I20-1,$I20))))=$AZ$8,YEAR((DATE(1899,12,31)+(0*7+IF($I20&gt;60,$I20-1,$I20))))=$AZ$7),($H20*$C20),0)</f>
        <v>0</v>
      </c>
      <c r="BA20" s="772">
        <f>IF(AND(MONTH((DATE(1899,12,31)+(0*7+IF($I20&gt;60,$I20-1,$I20))))=$BA$8,YEAR((DATE(1899,12,31)+(0*7+IF($I20&gt;60,$I20-1,$I20))))=$BA$7),($H20*$C20),0)</f>
        <v>0</v>
      </c>
      <c r="BB20" s="772">
        <f>IF(AND(MONTH((DATE(1899,12,31)+(0*7+IF($I20&gt;60,$I20-1,$I20))))=$BB$8,YEAR((DATE(1899,12,31)+(0*7+IF($I20&gt;60,$I20-1,$I20))))=$BB$7),($H20*$C20),0)</f>
        <v>0</v>
      </c>
      <c r="BC20" s="772">
        <f>IF(AND(MONTH((DATE(1899,12,31)+(0*7+IF($I20&gt;60,$I20-1,$I20))))=$BC$8,YEAR((DATE(1899,12,31)+(0*7+IF($I20&gt;60,$I20-1,$I20))))=$BC$7),($H20*$C20),0)</f>
        <v>0</v>
      </c>
      <c r="BD20" s="772">
        <f>IF(AND(MONTH((DATE(1899,12,31)+(0*7+IF($I20&gt;60,$I20-1,$I20))))=$BD$8,YEAR((DATE(1899,12,31)+(0*7+IF($I20&gt;60,$I20-1,$I20))))=$BD$7),($H20*$C20),0)</f>
        <v>0</v>
      </c>
      <c r="BE20" s="772">
        <f>IF(AND(MONTH((DATE(1899,12,31)+(0*7+IF($I20&gt;60,$I20-1,$I20))))=$BE$8,YEAR((DATE(1899,12,31)+(0*7+IF($I20&gt;60,$I20-1,$I20))))=$BE$7),($H20*$C20),0)</f>
        <v>0</v>
      </c>
      <c r="BF20" s="772">
        <f>IF(AND(MONTH((DATE(1899,12,31)+(0*7+IF($I20&gt;60,$I20-1,$I20))))=$BF$8,YEAR((DATE(1899,12,31)+(0*7+IF($I20&gt;60,$I20-1,$I20))))=$BF$7),($H20*$C20),0)</f>
        <v>0</v>
      </c>
      <c r="BG20" s="772">
        <f>IF(AND(MONTH((DATE(1899,12,31)+(0*7+IF($I20&gt;60,$I20-1,$I20))))=$BG$8,YEAR((DATE(1899,12,31)+(0*7+IF($I20&gt;60,$I20-1,$I20))))=$BG$7),($H20*$C20),0)</f>
        <v>0</v>
      </c>
      <c r="BH20" s="772">
        <f>IF(AND(MONTH((DATE(1899,12,31)+(0*7+IF($I20&gt;60,$I20-1,$I20))))=$BH$8,YEAR((DATE(1899,12,31)+(0*7+IF($I20&gt;60,$I20-1,$I20))))=$BH$7),($H20*$C20),0)</f>
        <v>0</v>
      </c>
      <c r="BI20" s="772">
        <f>IF(AND(MONTH((DATE(1899,12,31)+(0*7+IF($I20&gt;60,$I20-1,$I20))))=$BI$8,YEAR((DATE(1899,12,31)+(0*7+IF($I20&gt;60,$I20-1,$I20))))=$BI$7),($H20*$C20),0)</f>
        <v>0</v>
      </c>
      <c r="BJ20" s="772">
        <f>IF(AND(MONTH((DATE(1899,12,31)+(0*7+IF($I20&gt;60,$I20-1,$I20))))=$BJ$8,YEAR((DATE(1899,12,31)+(0*7+IF($I20&gt;60,$I20-1,$I20))))=$BJ$7),($H20*$C20),0)</f>
        <v>0</v>
      </c>
      <c r="BK20" s="772">
        <f>IF(AND(MONTH((DATE(1899,12,31)+(0*7+IF($I20&gt;60,$I20-1,$I20))))=$BK$8,YEAR((DATE(1899,12,31)+(0*7+IF($I20&gt;60,$I20-1,$I20))))=$BK$7),($H20*$C20),0)</f>
        <v>0</v>
      </c>
      <c r="BL20" s="772">
        <f>IF(AND(MONTH((DATE(1899,12,31)+(0*7+IF($I20&gt;60,$I20-1,$I20))))=$BL$8,YEAR((DATE(1899,12,31)+(0*7+IF($I20&gt;60,$I20-1,$I20))))=$BL$7),($H20*$C20),0)</f>
        <v>0</v>
      </c>
      <c r="BM20" s="772">
        <f>IF(AND(MONTH((DATE(1899,12,31)+(0*7+IF($I20&gt;60,$I20-1,$I20))))=$BM$8,YEAR((DATE(1899,12,31)+(0*7+IF($I20&gt;60,$I20-1,$I20))))=$BM$7),($H20*$C20),0)</f>
        <v>0</v>
      </c>
      <c r="BN20" s="772">
        <f>IF(AND(MONTH((DATE(1899,12,31)+(0*7+IF($I20&gt;60,$I20-1,$I20))))=$BN$8,YEAR((DATE(1899,12,31)+(0*7+IF($I20&gt;60,$I20-1,$I20))))=$BN$7),($H20*$C20),0)</f>
        <v>0</v>
      </c>
      <c r="BO20" s="772">
        <f>IF(AND(MONTH((DATE(1899,12,31)+(0*7+IF($I20&gt;60,$I20-1,$I20))))=$BO$8,YEAR((DATE(1899,12,31)+(0*7+IF($I20&gt;60,$I20-1,$I20))))=$BO$7),($H20*$C20),0)</f>
        <v>0</v>
      </c>
      <c r="BP20" s="772">
        <f>IF(AND(MONTH((DATE(1899,12,31)+(0*7+IF($I20&gt;60,$I20-1,$I20))))=$BP$8,YEAR((DATE(1899,12,31)+(0*7+IF($I20&gt;60,$I20-1,$I20))))=$BP$7),($H20*$C20),0)</f>
        <v>0</v>
      </c>
      <c r="BQ20" s="772">
        <f>IF(AND(MONTH((DATE(1899,12,31)+(0*7+IF($I20&gt;60,$I20-1,$I20))))=$BQ$8,YEAR((DATE(1899,12,31)+(0*7+IF($I20&gt;60,$I20-1,$I20))))=$BQ$7),($H20*$C20),0)</f>
        <v>0</v>
      </c>
      <c r="BR20" s="772">
        <f>IF(AND(MONTH((DATE(1899,12,31)+(0*7+IF($I20&gt;60,$I20-1,$I20))))=$BR$8,YEAR((DATE(1899,12,31)+(0*7+IF($I20&gt;60,$I20-1,$I20))))=$BR$7),($H20*$C20),0)</f>
        <v>0</v>
      </c>
      <c r="BS20" s="772">
        <f>IF(AND(MONTH((DATE(1899,12,31)+(0*7+IF($I20&gt;60,$I20-1,$I20))))=$BS$8,YEAR((DATE(1899,12,31)+(0*7+IF($I20&gt;60,$I20-1,$I20))))=$BS$7),($H20*$C20),0)</f>
        <v>0</v>
      </c>
      <c r="BT20" s="772">
        <f>IF(AND(MONTH((DATE(1899,12,31)+(0*7+IF($I20&gt;60,$I20-1,$I20))))=$BT$8,YEAR((DATE(1899,12,31)+(0*7+IF($I20&gt;60,$I20-1,$I20))))=$BT$7),($H20*$C20),0)</f>
        <v>0</v>
      </c>
      <c r="BU20" s="772">
        <f>IF(AND(MONTH((DATE(1899,12,31)+(0*7+IF($I20&gt;60,$I20-1,$I20))))=$BU$8,YEAR((DATE(1899,12,31)+(0*7+IF($I20&gt;60,$I20-1,$I20))))=$BU$7),($H20*$C20),0)</f>
        <v>0</v>
      </c>
      <c r="BV20" s="772">
        <f>IF(AND(MONTH((DATE(1899,12,31)+(0*7+IF($I20&gt;60,$I20-1,$I20))))=$BV$8,YEAR((DATE(1899,12,31)+(0*7+IF($I20&gt;60,$I20-1,$I20))))=$BV$7),($H20*$C20),0)</f>
        <v>0</v>
      </c>
      <c r="BW20" s="772">
        <f>IF(AND(MONTH((DATE(1899,12,31)+(0*7+IF($I20&gt;60,$I20-1,$I20))))=$BW$8,YEAR((DATE(1899,12,31)+(0*7+IF($I20&gt;60,$I20-1,$I20))))=$BW$7),($H20*$C20),0)</f>
        <v>0</v>
      </c>
      <c r="BX20" s="772">
        <f>IF(AND(MONTH((DATE(1899,12,31)+(0*7+IF($I20&gt;60,$I20-1,$I20))))=$BX$8,YEAR((DATE(1899,12,31)+(0*7+IF($I20&gt;60,$I20-1,$I20))))=$BX$7),($H20*$C20),0)</f>
        <v>0</v>
      </c>
      <c r="BY20" s="772">
        <f>IF(AND(MONTH((DATE(1899,12,31)+(0*7+IF($I20&gt;60,$I20-1,$I20))))=$BY$8,YEAR((DATE(1899,12,31)+(0*7+IF($I20&gt;60,$I20-1,$I20))))=$BY$7),($H20*$C20),0)</f>
        <v>0</v>
      </c>
      <c r="BZ20" s="772">
        <f>IF(AND(MONTH((DATE(1899,12,31)+(0*7+IF($I20&gt;60,$I20-1,$I20))))=$BZ$8,YEAR((DATE(1899,12,31)+(0*7+IF($I20&gt;60,$I20-1,$I20))))=$BZ$7),($H20*$C20),0)</f>
        <v>0</v>
      </c>
    </row>
    <row r="21" s="58" customFormat="1" ht="18" customHeight="1">
      <c r="B21" t="s" s="566">
        <v>785</v>
      </c>
      <c r="C21" s="567">
        <f>SUM(C11:C20)</f>
        <v>3</v>
      </c>
      <c r="D21" t="s" s="568">
        <v>786</v>
      </c>
      <c r="E21" s="567">
        <f>($C$11*E11)+($C$12*E12)+($C$13*E13)+($C$14*E14)+($C$15*E15)+($C$16*E16)+($C$17*E17)+($C$18*E18)+($C$19*E19)+($C$20*E20)</f>
        <v>12</v>
      </c>
      <c r="G21" s="569">
        <f>($C$11*G11)+($C$12*G12)+($C$13*G13)+($C$14*G14)+($C$15*G15)+($C$16*G16)+($C$17*G17)+($C$18*G18)+($C$19*G19)+($C$20*G20)</f>
        <v>195</v>
      </c>
      <c r="H21" s="569">
        <f>($C$11*H11)+($C$12*H12)+($C$13*H13)+($C$14*H14)+($C$15*H15)+($C$16*H16)+($C$17*H17)+($C$18*H18)+($C$19*H19)+($C$20*H20)</f>
        <v>790000</v>
      </c>
      <c r="I21" t="s" s="820">
        <v>936</v>
      </c>
      <c r="M21" s="759">
        <f>IF(C21=0,0,('Summary'!D14/'Summary'!D16*'Summary'!D34))</f>
        <v>-483890.5920258621</v>
      </c>
      <c r="N21" s="532"/>
      <c r="S21" s="532"/>
      <c r="T21" s="108"/>
      <c r="AH21" t="s" s="90">
        <v>788</v>
      </c>
      <c r="AQ21" s="772"/>
      <c r="AR21" s="772"/>
      <c r="AS21" s="772"/>
      <c r="AT21" s="772"/>
      <c r="AU21" s="772"/>
      <c r="AV21" s="772"/>
      <c r="AW21" s="772"/>
      <c r="AX21" s="772"/>
      <c r="AY21" s="772"/>
      <c r="AZ21" s="772"/>
      <c r="BA21" s="772"/>
      <c r="BB21" s="772"/>
      <c r="BC21" s="772"/>
      <c r="BD21" s="772"/>
      <c r="BE21" s="772"/>
      <c r="BF21" s="772"/>
      <c r="BG21" s="772"/>
      <c r="BH21" s="772"/>
      <c r="BI21" s="772"/>
      <c r="BJ21" s="772"/>
      <c r="BK21" s="772"/>
      <c r="BL21" s="772"/>
      <c r="BM21" s="772"/>
      <c r="BN21" s="772"/>
      <c r="BO21" s="772"/>
      <c r="BP21" s="772"/>
      <c r="BQ21" s="772"/>
      <c r="BR21" s="772"/>
      <c r="BS21" s="772"/>
      <c r="BT21" s="772"/>
      <c r="BU21" s="772"/>
      <c r="BV21" s="772"/>
      <c r="BW21" s="772"/>
      <c r="BX21" s="772"/>
      <c r="BY21" s="772"/>
      <c r="BZ21" s="772"/>
    </row>
    <row r="22" s="58" customFormat="1" ht="18" customHeight="1">
      <c r="S22" s="532"/>
      <c r="T22" s="108"/>
      <c r="AH22" t="s" s="90">
        <v>792</v>
      </c>
      <c r="AQ22" s="772"/>
      <c r="AR22" s="772"/>
      <c r="AS22" s="772"/>
      <c r="AT22" s="772"/>
      <c r="AU22" s="772"/>
      <c r="AV22" s="772"/>
      <c r="AW22" s="772"/>
      <c r="AX22" s="772"/>
      <c r="AY22" s="772"/>
      <c r="AZ22" s="772"/>
      <c r="BA22" s="772"/>
      <c r="BB22" s="772"/>
      <c r="BC22" s="772"/>
      <c r="BD22" s="772"/>
      <c r="BE22" s="772"/>
      <c r="BF22" s="772"/>
      <c r="BG22" s="772"/>
      <c r="BH22" s="772"/>
      <c r="BI22" s="772"/>
      <c r="BJ22" s="772"/>
      <c r="BK22" s="772"/>
      <c r="BL22" s="772"/>
      <c r="BM22" s="772"/>
      <c r="BN22" s="772"/>
      <c r="BO22" s="772"/>
      <c r="BP22" s="772"/>
      <c r="BQ22" s="772"/>
      <c r="BR22" s="772"/>
      <c r="BS22" s="772"/>
      <c r="BT22" s="772"/>
      <c r="BU22" s="772"/>
      <c r="BV22" s="772"/>
      <c r="BW22" s="772"/>
      <c r="BX22" s="772"/>
      <c r="BY22" s="772"/>
      <c r="BZ22" s="772"/>
    </row>
    <row r="23" s="58" customFormat="1" ht="18" customHeight="1" hidden="1">
      <c r="S23" s="532"/>
      <c r="T23" s="108"/>
      <c r="AH23" t="s" s="90">
        <v>794</v>
      </c>
      <c r="AQ23" s="772"/>
      <c r="AR23" s="772"/>
      <c r="AS23" s="772"/>
      <c r="AT23" s="772"/>
      <c r="AU23" s="772"/>
      <c r="AV23" s="772"/>
      <c r="AW23" s="772"/>
      <c r="AX23" s="772"/>
      <c r="AY23" s="772"/>
      <c r="AZ23" s="772"/>
      <c r="BA23" s="772"/>
      <c r="BB23" s="772"/>
      <c r="BC23" s="772"/>
      <c r="BD23" s="772"/>
      <c r="BE23" s="772"/>
      <c r="BF23" s="772"/>
      <c r="BG23" s="772"/>
      <c r="BH23" s="772"/>
      <c r="BI23" s="772"/>
      <c r="BJ23" s="772"/>
      <c r="BK23" s="772"/>
      <c r="BL23" s="772"/>
      <c r="BM23" s="772"/>
      <c r="BN23" s="772"/>
      <c r="BO23" s="772"/>
      <c r="BP23" s="772"/>
      <c r="BQ23" s="772"/>
      <c r="BR23" s="772"/>
      <c r="BS23" s="772"/>
      <c r="BT23" s="772"/>
      <c r="BU23" s="772"/>
      <c r="BV23" s="772"/>
      <c r="BW23" s="772"/>
      <c r="BX23" s="772"/>
      <c r="BY23" s="772"/>
      <c r="BZ23" s="772"/>
    </row>
    <row r="24" s="58" customFormat="1" ht="18" customHeight="1" hidden="1">
      <c r="B24" s="821"/>
      <c r="F24" s="822"/>
      <c r="S24" s="532"/>
      <c r="T24" s="108"/>
      <c r="AH24" t="s" s="90">
        <v>797</v>
      </c>
      <c r="AQ24" s="772"/>
      <c r="AR24" s="772"/>
      <c r="AS24" s="772"/>
      <c r="AT24" s="772"/>
      <c r="AU24" s="772"/>
      <c r="AV24" s="772"/>
      <c r="AW24" s="772"/>
      <c r="AX24" s="772"/>
      <c r="AY24" s="772"/>
      <c r="AZ24" s="772"/>
      <c r="BA24" s="772"/>
      <c r="BB24" s="772"/>
      <c r="BC24" s="772"/>
      <c r="BD24" s="772"/>
      <c r="BE24" s="772"/>
      <c r="BF24" s="772"/>
      <c r="BG24" s="772"/>
      <c r="BH24" s="772"/>
      <c r="BI24" s="772"/>
      <c r="BJ24" s="772"/>
      <c r="BK24" s="772"/>
      <c r="BL24" s="772"/>
      <c r="BM24" s="772"/>
      <c r="BN24" s="772"/>
      <c r="BO24" s="772"/>
      <c r="BP24" s="772"/>
      <c r="BQ24" s="772"/>
      <c r="BR24" s="772"/>
      <c r="BS24" s="772"/>
      <c r="BT24" s="772"/>
      <c r="BU24" s="772"/>
      <c r="BV24" s="772"/>
      <c r="BW24" s="772"/>
      <c r="BX24" s="772"/>
      <c r="BY24" s="772"/>
      <c r="BZ24" s="772"/>
    </row>
    <row r="25" s="58" customFormat="1" ht="24" customHeight="1" hidden="1">
      <c r="S25" s="532"/>
      <c r="T25" s="108"/>
      <c r="AH25" t="s" s="90">
        <v>800</v>
      </c>
      <c r="AQ25" s="772"/>
      <c r="AR25" s="772"/>
      <c r="AS25" s="772"/>
      <c r="AT25" s="772"/>
      <c r="AU25" s="772"/>
      <c r="AV25" s="772"/>
      <c r="AW25" s="772"/>
      <c r="AX25" s="772"/>
      <c r="AY25" s="772"/>
      <c r="AZ25" s="772"/>
      <c r="BA25" s="772"/>
      <c r="BB25" s="772"/>
      <c r="BC25" s="772"/>
      <c r="BD25" s="772"/>
      <c r="BE25" s="772"/>
      <c r="BF25" s="772"/>
      <c r="BG25" s="772"/>
      <c r="BH25" s="772"/>
      <c r="BI25" s="772"/>
      <c r="BJ25" s="772"/>
      <c r="BK25" s="772"/>
      <c r="BL25" s="772"/>
      <c r="BM25" s="772"/>
      <c r="BN25" s="772"/>
      <c r="BO25" s="772"/>
      <c r="BP25" s="772"/>
      <c r="BQ25" s="772"/>
      <c r="BR25" s="772"/>
      <c r="BS25" s="772"/>
      <c r="BT25" s="772"/>
      <c r="BU25" s="772"/>
      <c r="BV25" s="772"/>
      <c r="BW25" s="772"/>
      <c r="BX25" s="772"/>
      <c r="BY25" s="772"/>
      <c r="BZ25" s="772"/>
    </row>
    <row r="26" s="58" customFormat="1" ht="18" customHeight="1" hidden="1">
      <c r="E26" s="600"/>
      <c r="F26" s="600"/>
      <c r="G26" s="790"/>
      <c r="H26" s="790"/>
      <c r="S26" s="532"/>
      <c r="T26" s="108"/>
      <c r="AH26" t="s" s="90">
        <v>802</v>
      </c>
      <c r="AQ26" s="772"/>
      <c r="AR26" s="772"/>
      <c r="AS26" s="772"/>
      <c r="AT26" s="772"/>
      <c r="AU26" s="772"/>
      <c r="AV26" s="772"/>
      <c r="AW26" s="772"/>
      <c r="AX26" s="772"/>
      <c r="AY26" s="772"/>
      <c r="AZ26" s="772"/>
      <c r="BA26" s="772"/>
      <c r="BB26" s="772"/>
      <c r="BC26" s="772"/>
      <c r="BD26" s="772"/>
      <c r="BE26" s="772"/>
      <c r="BF26" s="772"/>
      <c r="BG26" s="772"/>
      <c r="BH26" s="772"/>
      <c r="BI26" s="772"/>
      <c r="BJ26" s="772"/>
      <c r="BK26" s="772"/>
      <c r="BL26" s="772"/>
      <c r="BM26" s="772"/>
      <c r="BN26" s="772"/>
      <c r="BO26" s="772"/>
      <c r="BP26" s="772"/>
      <c r="BQ26" s="772"/>
      <c r="BR26" s="772"/>
      <c r="BS26" s="772"/>
      <c r="BT26" s="772"/>
      <c r="BU26" s="772"/>
      <c r="BV26" s="772"/>
      <c r="BW26" s="772"/>
      <c r="BX26" s="772"/>
      <c r="BY26" s="772"/>
      <c r="BZ26" s="772"/>
    </row>
    <row r="27" s="58" customFormat="1" ht="18" customHeight="1" hidden="1">
      <c r="E27" s="601"/>
      <c r="F27" s="791"/>
      <c r="G27" s="792"/>
      <c r="H27" s="790"/>
      <c r="S27" s="532"/>
      <c r="T27" s="108"/>
      <c r="AH27" t="s" s="90">
        <v>805</v>
      </c>
      <c r="AQ27" s="772"/>
      <c r="AR27" s="772"/>
      <c r="AS27" s="772"/>
      <c r="AT27" s="772"/>
      <c r="AU27" s="772"/>
      <c r="AV27" s="772"/>
      <c r="AW27" s="772"/>
      <c r="AX27" s="772"/>
      <c r="AY27" s="772"/>
      <c r="AZ27" s="772"/>
      <c r="BA27" s="772"/>
      <c r="BB27" s="772"/>
      <c r="BC27" s="772"/>
      <c r="BD27" s="772"/>
      <c r="BE27" s="772"/>
      <c r="BF27" s="772"/>
      <c r="BG27" s="772"/>
      <c r="BH27" s="772"/>
      <c r="BI27" s="772"/>
      <c r="BJ27" s="772"/>
      <c r="BK27" s="772"/>
      <c r="BL27" s="772"/>
      <c r="BM27" s="772"/>
      <c r="BN27" s="772"/>
      <c r="BO27" s="772"/>
      <c r="BP27" s="772"/>
      <c r="BQ27" s="772"/>
      <c r="BR27" s="772"/>
      <c r="BS27" s="772"/>
      <c r="BT27" s="772"/>
      <c r="BU27" s="772"/>
      <c r="BV27" s="772"/>
      <c r="BW27" s="772"/>
      <c r="BX27" s="772"/>
      <c r="BY27" s="772"/>
      <c r="BZ27" s="772"/>
    </row>
    <row r="28" s="58" customFormat="1" ht="18" customHeight="1" hidden="1">
      <c r="E28" s="600"/>
      <c r="F28" s="793"/>
      <c r="G28" s="793"/>
      <c r="H28" s="790"/>
      <c r="S28" s="532"/>
      <c r="T28" s="108"/>
      <c r="AH28" t="s" s="90">
        <v>808</v>
      </c>
      <c r="AQ28" s="772"/>
      <c r="AR28" s="772"/>
      <c r="AS28" s="772"/>
      <c r="AT28" s="772"/>
      <c r="AU28" s="772"/>
      <c r="AV28" s="772"/>
      <c r="AW28" s="772"/>
      <c r="AX28" s="772"/>
      <c r="AY28" s="772"/>
      <c r="AZ28" s="772"/>
      <c r="BA28" s="772"/>
      <c r="BB28" s="772"/>
      <c r="BC28" s="772"/>
      <c r="BD28" s="772"/>
      <c r="BE28" s="772"/>
      <c r="BF28" s="772"/>
      <c r="BG28" s="772"/>
      <c r="BH28" s="772"/>
      <c r="BI28" s="772"/>
      <c r="BJ28" s="772"/>
      <c r="BK28" s="772"/>
      <c r="BL28" s="772"/>
      <c r="BM28" s="772"/>
      <c r="BN28" s="772"/>
      <c r="BO28" s="772"/>
      <c r="BP28" s="772"/>
      <c r="BQ28" s="772"/>
      <c r="BR28" s="772"/>
      <c r="BS28" s="772"/>
      <c r="BT28" s="772"/>
      <c r="BU28" s="772"/>
      <c r="BV28" s="772"/>
      <c r="BW28" s="772"/>
      <c r="BX28" s="772"/>
      <c r="BY28" s="772"/>
      <c r="BZ28" s="772"/>
    </row>
    <row r="29" s="58" customFormat="1" ht="18" customHeight="1" hidden="1">
      <c r="E29" s="101"/>
      <c r="F29" s="101"/>
      <c r="G29" s="793"/>
      <c r="H29" s="793"/>
      <c r="S29" s="532"/>
      <c r="T29" s="108"/>
      <c r="AH29" t="s" s="90">
        <v>812</v>
      </c>
      <c r="AQ29" s="772"/>
      <c r="AR29" s="772"/>
      <c r="AS29" s="772"/>
      <c r="AT29" s="772"/>
      <c r="AU29" s="772"/>
      <c r="AV29" s="772"/>
      <c r="AW29" s="772"/>
      <c r="AX29" s="772"/>
      <c r="AY29" s="772"/>
      <c r="AZ29" s="772"/>
      <c r="BA29" s="772"/>
      <c r="BB29" s="772"/>
      <c r="BC29" s="772"/>
      <c r="BD29" s="772"/>
      <c r="BE29" s="772"/>
      <c r="BF29" s="772"/>
      <c r="BG29" s="772"/>
      <c r="BH29" s="772"/>
      <c r="BI29" s="772"/>
      <c r="BJ29" s="772"/>
      <c r="BK29" s="772"/>
      <c r="BL29" s="772"/>
      <c r="BM29" s="772"/>
      <c r="BN29" s="772"/>
      <c r="BO29" s="772"/>
      <c r="BP29" s="772"/>
      <c r="BQ29" s="772"/>
      <c r="BR29" s="772"/>
      <c r="BS29" s="772"/>
      <c r="BT29" s="772"/>
      <c r="BU29" s="772"/>
      <c r="BV29" s="772"/>
      <c r="BW29" s="772"/>
      <c r="BX29" s="772"/>
      <c r="BY29" s="772"/>
      <c r="BZ29" s="772"/>
    </row>
    <row r="30" s="58" customFormat="1" ht="18" customHeight="1" hidden="1">
      <c r="S30" s="532"/>
      <c r="T30" s="108"/>
      <c r="AH30" t="s" s="90">
        <v>813</v>
      </c>
      <c r="AQ30" s="772"/>
      <c r="AR30" s="772"/>
      <c r="AS30" s="772"/>
      <c r="AT30" s="772"/>
      <c r="AU30" s="772"/>
      <c r="AV30" s="772"/>
      <c r="AW30" s="772"/>
      <c r="AX30" s="772"/>
      <c r="AY30" s="772"/>
      <c r="AZ30" s="772"/>
      <c r="BA30" s="772"/>
      <c r="BB30" s="772"/>
      <c r="BC30" s="772"/>
      <c r="BD30" s="772"/>
      <c r="BE30" s="772"/>
      <c r="BF30" s="772"/>
      <c r="BG30" s="772"/>
      <c r="BH30" s="772"/>
      <c r="BI30" s="772"/>
      <c r="BJ30" s="772"/>
      <c r="BK30" s="772"/>
      <c r="BL30" s="772"/>
      <c r="BM30" s="772"/>
      <c r="BN30" s="772"/>
      <c r="BO30" s="772"/>
      <c r="BP30" s="772"/>
      <c r="BQ30" s="772"/>
      <c r="BR30" s="772"/>
      <c r="BS30" s="772"/>
      <c r="BT30" s="772"/>
      <c r="BU30" s="772"/>
      <c r="BV30" s="772"/>
      <c r="BW30" s="772"/>
      <c r="BX30" s="772"/>
      <c r="BY30" s="772"/>
      <c r="BZ30" s="772"/>
    </row>
    <row r="31" s="58" customFormat="1" ht="15.75" customHeight="1" hidden="1">
      <c r="AH31" t="s" s="90">
        <v>816</v>
      </c>
      <c r="AQ31" s="789">
        <f>SUM(AQ11:AQ30)</f>
      </c>
      <c r="AR31" s="789">
        <f>SUM(AR11:AR30)</f>
      </c>
      <c r="AS31" s="789">
        <f>SUM(AS11:AS30)</f>
      </c>
      <c r="AT31" s="789">
        <f>SUM(AT11:AT30)</f>
      </c>
      <c r="AU31" s="789">
        <f>SUM(AU11:AU30)</f>
      </c>
      <c r="AV31" s="789">
        <f>SUM(AV11:AV30)</f>
      </c>
      <c r="AW31" s="789">
        <f>SUM(AW11:AW30)</f>
      </c>
      <c r="AX31" s="789">
        <f>SUM(AX11:AX30)</f>
      </c>
      <c r="AY31" s="789">
        <f>SUM(AY11:AY30)</f>
      </c>
      <c r="AZ31" s="789">
        <f>SUM(AZ11:AZ30)</f>
      </c>
      <c r="BA31" s="789">
        <f>SUM(BA11:BA30)</f>
      </c>
      <c r="BB31" s="789">
        <f>SUM(BB11:BB30)</f>
      </c>
      <c r="BC31" s="789">
        <f>SUM(BC11:BC30)</f>
      </c>
      <c r="BD31" s="789">
        <f>SUM(BD11:BD30)</f>
      </c>
      <c r="BE31" s="789">
        <f>SUM(BE11:BE30)</f>
      </c>
      <c r="BF31" s="789">
        <f>SUM(BF11:BF30)</f>
      </c>
      <c r="BG31" s="789">
        <f>SUM(BG11:BG30)</f>
      </c>
      <c r="BH31" s="789">
        <f>SUM(BH11:BH30)</f>
      </c>
      <c r="BI31" s="789">
        <f>SUM(BI11:BI30)</f>
      </c>
      <c r="BJ31" s="789">
        <f>SUM(BJ11:BJ30)</f>
      </c>
      <c r="BK31" s="789">
        <f>SUM(BK11:BK30)</f>
      </c>
      <c r="BL31" s="789">
        <f>SUM(BL11:BL30)</f>
      </c>
      <c r="BM31" s="789">
        <f>SUM(BM11:BM30)</f>
      </c>
      <c r="BN31" s="789">
        <f>SUM(BN11:BN30)</f>
      </c>
      <c r="BO31" s="789">
        <f>SUM(BO11:BO30)</f>
      </c>
      <c r="BP31" s="789">
        <f>SUM(BP11:BP30)</f>
      </c>
      <c r="BQ31" s="789">
        <f>SUM(BQ11:BQ30)</f>
      </c>
      <c r="BR31" s="789">
        <f>SUM(BR11:BR30)</f>
      </c>
      <c r="BS31" s="789">
        <f>SUM(BS11:BS30)</f>
      </c>
      <c r="BT31" s="789">
        <f>SUM(BT11:BT30)</f>
      </c>
      <c r="BU31" s="789">
        <f>SUM(BU11:BU30)</f>
      </c>
      <c r="BV31" s="789">
        <f>SUM(BV11:BV30)</f>
      </c>
      <c r="BW31" s="789">
        <f>SUM(BW11:BW30)</f>
      </c>
      <c r="BX31" s="789">
        <f>SUM(BX11:BX30)</f>
      </c>
      <c r="BY31" s="789">
        <f>SUM(BY11:BY30)</f>
      </c>
      <c r="BZ31" s="789">
        <f>SUM(BZ11:BZ30)</f>
      </c>
    </row>
    <row r="32" s="58" customFormat="1" ht="12.75" customHeight="1" hidden="1">
      <c r="AH32" t="s" s="90">
        <v>820</v>
      </c>
    </row>
    <row r="33" s="58" customFormat="1" ht="12.75" customHeight="1" hidden="1">
      <c r="AH33" t="s" s="90">
        <v>823</v>
      </c>
    </row>
    <row r="34" s="58" customFormat="1" ht="12.75" customHeight="1" hidden="1">
      <c r="AH34" t="s" s="90">
        <v>825</v>
      </c>
    </row>
    <row r="35" s="58" customFormat="1" ht="12.75" customHeight="1" hidden="1">
      <c r="AH35" t="s" s="90">
        <v>830</v>
      </c>
    </row>
    <row r="36" s="58" customFormat="1" ht="12.75" customHeight="1" hidden="1">
      <c r="AH36" t="s" s="90">
        <v>831</v>
      </c>
    </row>
    <row r="37" s="58" customFormat="1" ht="12.75" customHeight="1" hidden="1">
      <c r="AH37" t="s" s="90">
        <v>834</v>
      </c>
    </row>
    <row r="38" s="58" customFormat="1" ht="12.75" customHeight="1" hidden="1">
      <c r="AH38" t="s" s="90">
        <v>837</v>
      </c>
    </row>
    <row r="39" s="58" customFormat="1" ht="12.75" customHeight="1" hidden="1">
      <c r="AH39" t="s" s="90">
        <v>839</v>
      </c>
    </row>
    <row r="40" s="58" customFormat="1" ht="12.75" customHeight="1" hidden="1">
      <c r="AH40" t="s" s="90">
        <v>841</v>
      </c>
    </row>
    <row r="41" s="58" customFormat="1" ht="12.75" customHeight="1" hidden="1">
      <c r="AH41" t="s" s="90">
        <v>843</v>
      </c>
    </row>
    <row r="42" s="58" customFormat="1" ht="12.75" customHeight="1" hidden="1">
      <c r="AH42" t="s" s="90">
        <v>844</v>
      </c>
    </row>
    <row r="43" s="58" customFormat="1" ht="12.75" customHeight="1" hidden="1">
      <c r="AH43" t="s" s="90">
        <v>846</v>
      </c>
    </row>
    <row r="44" s="58" customFormat="1" ht="12.75" customHeight="1" hidden="1">
      <c r="AH44" t="s" s="90">
        <v>847</v>
      </c>
    </row>
    <row r="45" s="58" customFormat="1" ht="12.75" customHeight="1" hidden="1">
      <c r="AH45" t="s" s="90">
        <v>848</v>
      </c>
    </row>
    <row r="46" s="58" customFormat="1" ht="12.75" customHeight="1" hidden="1">
      <c r="AH46" t="s" s="90">
        <v>850</v>
      </c>
    </row>
    <row r="47" s="58" customFormat="1" ht="12.75" customHeight="1" hidden="1">
      <c r="AH47" t="s" s="90">
        <v>852</v>
      </c>
    </row>
    <row r="48" s="58" customFormat="1" ht="12.75" customHeight="1" hidden="1">
      <c r="AH48" t="s" s="90">
        <v>853</v>
      </c>
    </row>
    <row r="49" s="58" customFormat="1" ht="12.75" customHeight="1" hidden="1">
      <c r="AH49" t="s" s="90">
        <v>854</v>
      </c>
    </row>
    <row r="50" s="58" customFormat="1" ht="12.75" customHeight="1" hidden="1">
      <c r="AH50" t="s" s="90">
        <v>855</v>
      </c>
    </row>
    <row r="51" s="58" customFormat="1" ht="12.75" customHeight="1" hidden="1">
      <c r="AH51" t="s" s="90">
        <v>857</v>
      </c>
    </row>
    <row r="52" s="58" customFormat="1" ht="12.75" customHeight="1" hidden="1">
      <c r="AH52" s="536"/>
    </row>
    <row r="53" s="58" customFormat="1" ht="12.75" customHeight="1" hidden="1">
      <c r="AH53" s="536"/>
    </row>
    <row r="54" s="58" customFormat="1" ht="12.75" customHeight="1" hidden="1">
      <c r="AH54" s="536"/>
    </row>
    <row r="55" s="58" customFormat="1" ht="12.75" customHeight="1" hidden="1">
      <c r="AH55" s="536"/>
    </row>
    <row r="56" s="58" customFormat="1" ht="13.5" customHeight="1" hidden="1">
      <c r="AH56" s="602"/>
    </row>
    <row r="400" s="58" customFormat="1" ht="12.75" customHeight="1" hidden="1">
      <c r="A400" s="190">
        <v>42939</v>
      </c>
    </row>
    <row r="402" s="58" customFormat="1" ht="12.75" customHeight="1" hidden="1">
      <c r="A402" s="190"/>
    </row>
    <row r="406" s="58" customFormat="1" ht="12.75" customHeight="1" hidden="1">
      <c r="A406" s="193"/>
    </row>
  </sheetData>
  <mergeCells count="1">
    <mergeCell ref="B3:C3"/>
  </mergeCells>
  <pageMargins left="0.75" right="0.75" top="1" bottom="1" header="0.5" footer="0.5"/>
  <pageSetup firstPageNumber="1" fitToHeight="1" fitToWidth="1" scale="100" useFirstPageNumber="0" orientation="landscape" pageOrder="downThenOver"/>
  <headerFooter>
    <oddFooter>&amp;L&amp;"Helvetica,Regular"&amp;12&amp;K000000	&amp;P</oddFooter>
  </headerFooter>
</worksheet>
</file>

<file path=xl/worksheets/sheet21.xml><?xml version="1.0" encoding="utf-8"?>
<worksheet xmlns:r="http://schemas.openxmlformats.org/officeDocument/2006/relationships" xmlns="http://schemas.openxmlformats.org/spreadsheetml/2006/main">
  <sheetPr>
    <pageSetUpPr fitToPage="1"/>
  </sheetPr>
  <sheetViews>
    <sheetView workbookViewId="0" showGridLines="0" defaultGridColor="1"/>
  </sheetViews>
  <sheetFormatPr defaultColWidth="10" defaultRowHeight="13" customHeight="1" outlineLevelRow="0" outlineLevelCol="0"/>
  <cols>
    <col min="1" max="256" width="10" customWidth="1"/>
  </cols>
  <sheetData/>
  <pageMargins left="0.75" right="0.75" top="1" bottom="1" header="0.5" footer="0.5"/>
  <pageSetup firstPageNumber="1" fitToHeight="1" fitToWidth="1" scale="100" useFirstPageNumber="0" orientation="landscape" pageOrder="downThenOver"/>
  <headerFooter>
    <oddFooter>&amp;L&amp;"Helvetica,Regular"&amp;12&amp;K000000	&amp;P</oddFooter>
  </headerFooter>
  <drawing r:id="rId1"/>
  <legacyDrawing r:id="rId2"/>
</worksheet>
</file>

<file path=xl/worksheets/sheet22.xml><?xml version="1.0" encoding="utf-8"?>
<worksheet xmlns:r="http://schemas.openxmlformats.org/officeDocument/2006/relationships" xmlns="http://schemas.openxmlformats.org/spreadsheetml/2006/main">
  <dimension ref="A1:CC403"/>
  <sheetViews>
    <sheetView workbookViewId="0" defaultGridColor="0" colorId="16"/>
  </sheetViews>
  <sheetFormatPr defaultColWidth="6.625" defaultRowHeight="12.75" customHeight="1" outlineLevelRow="0" outlineLevelCol="0"/>
  <cols>
    <col min="1" max="1" width="3.75" style="6" customWidth="1"/>
    <col min="2" max="2" width="11.625" style="6" customWidth="1"/>
    <col min="3" max="3" width="13.5" style="6" customWidth="1"/>
    <col min="4" max="4" width="17.125" style="6" customWidth="1"/>
    <col min="5" max="5" width="20" style="6" customWidth="1"/>
    <col min="6" max="6" width="21.25" style="6" customWidth="1"/>
    <col min="7" max="7" width="6.875" style="6" customWidth="1"/>
    <col min="8" max="8" hidden="1" width="6.625" style="6" customWidth="1"/>
    <col min="9" max="9" hidden="1" width="6.625" style="6" customWidth="1"/>
    <col min="10" max="10" hidden="1" width="6.625" style="6" customWidth="1"/>
    <col min="11" max="11" hidden="1" width="6.625" style="6" customWidth="1"/>
    <col min="12" max="12" hidden="1" width="6.625" style="6" customWidth="1"/>
    <col min="13" max="13" hidden="1" width="6.625" style="6" customWidth="1"/>
    <col min="14" max="14" hidden="1" width="6.625" style="6" customWidth="1"/>
    <col min="15" max="15" hidden="1" width="6.625" style="6" customWidth="1"/>
    <col min="16" max="16" hidden="1" width="6.625" style="6" customWidth="1"/>
    <col min="17" max="17" hidden="1" width="6.625" style="6" customWidth="1"/>
    <col min="18" max="18" hidden="1" width="6.625" style="6" customWidth="1"/>
    <col min="19" max="19" hidden="1" width="6.625" style="6" customWidth="1"/>
    <col min="20" max="20" hidden="1" width="6.625" style="6" customWidth="1"/>
    <col min="21" max="21" hidden="1" width="6.625" style="6" customWidth="1"/>
    <col min="22" max="22" hidden="1" width="6.625" style="6" customWidth="1"/>
    <col min="23" max="23" hidden="1" width="6.625" style="6" customWidth="1"/>
    <col min="24" max="24" hidden="1" width="6.625" style="6" customWidth="1"/>
    <col min="25" max="25" hidden="1" width="6.625" style="6" customWidth="1"/>
    <col min="26" max="26" width="12.25" style="6" customWidth="1"/>
    <col min="27" max="27" width="12.375" style="6" customWidth="1"/>
    <col min="28" max="28" hidden="1" width="6.625" style="6" customWidth="1"/>
    <col min="29" max="29" hidden="1" width="6.625" style="6" customWidth="1"/>
    <col min="30" max="30" hidden="1" width="6.625" style="6" customWidth="1"/>
    <col min="31" max="31" hidden="1" width="6.625" style="6" customWidth="1"/>
    <col min="32" max="32" hidden="1" width="6.625" style="6" customWidth="1"/>
    <col min="33" max="33" hidden="1" width="6.625" style="6" customWidth="1"/>
    <col min="34" max="34" hidden="1" width="6.625" style="6" customWidth="1"/>
    <col min="35" max="35" hidden="1" width="6.625" style="6" customWidth="1"/>
    <col min="36" max="36" hidden="1" width="6.625" style="6" customWidth="1"/>
    <col min="37" max="37" hidden="1" width="6.625" style="6" customWidth="1"/>
    <col min="38" max="38" hidden="1" width="6.625" style="6" customWidth="1"/>
    <col min="39" max="39" hidden="1" width="6.625" style="6" customWidth="1"/>
    <col min="40" max="40" hidden="1" width="6.625" style="6" customWidth="1"/>
    <col min="41" max="41" hidden="1" width="6.625" style="6" customWidth="1"/>
    <col min="42" max="42" hidden="1" width="6.625" style="6" customWidth="1"/>
    <col min="43" max="43" hidden="1" width="6.625" style="6" customWidth="1"/>
    <col min="44" max="44" hidden="1" width="6.625" style="6" customWidth="1"/>
    <col min="45" max="45" hidden="1" width="6.625" style="6" customWidth="1"/>
    <col min="46" max="46" hidden="1" width="6.625" style="6" customWidth="1"/>
    <col min="47" max="47" hidden="1" width="6.625" style="6" customWidth="1"/>
    <col min="48" max="48" hidden="1" width="6.625" style="6" customWidth="1"/>
    <col min="49" max="49" hidden="1" width="6.625" style="6" customWidth="1"/>
    <col min="50" max="50" hidden="1" width="6.625" style="6" customWidth="1"/>
    <col min="51" max="51" hidden="1" width="6.625" style="6" customWidth="1"/>
    <col min="52" max="52" hidden="1" width="6.625" style="6" customWidth="1"/>
    <col min="53" max="53" hidden="1" width="6.625" style="6" customWidth="1"/>
    <col min="54" max="54" hidden="1" width="6.625" style="6" customWidth="1"/>
    <col min="55" max="55" hidden="1" width="6.625" style="6" customWidth="1"/>
    <col min="56" max="56" hidden="1" width="6.625" style="6" customWidth="1"/>
    <col min="57" max="57" hidden="1" width="6.625" style="6" customWidth="1"/>
    <col min="58" max="58" hidden="1" width="6.625" style="6" customWidth="1"/>
    <col min="59" max="59" hidden="1" width="6.625" style="6" customWidth="1"/>
    <col min="60" max="60" hidden="1" width="6.625" style="6" customWidth="1"/>
    <col min="61" max="61" hidden="1" width="6.625" style="6" customWidth="1"/>
    <col min="62" max="62" hidden="1" width="6.625" style="6" customWidth="1"/>
    <col min="63" max="63" hidden="1" width="6.625" style="6" customWidth="1"/>
    <col min="64" max="64" hidden="1" width="6.625" style="6" customWidth="1"/>
    <col min="65" max="65" hidden="1" width="6.625" style="6" customWidth="1"/>
    <col min="66" max="66" hidden="1" width="6.625" style="6" customWidth="1"/>
    <col min="67" max="67" hidden="1" width="6.625" style="6" customWidth="1"/>
    <col min="68" max="68" hidden="1" width="6.625" style="6" customWidth="1"/>
    <col min="69" max="69" hidden="1" width="6.625" style="6" customWidth="1"/>
    <col min="70" max="70" hidden="1" width="6.625" style="6" customWidth="1"/>
    <col min="71" max="71" hidden="1" width="6.625" style="6" customWidth="1"/>
    <col min="72" max="72" hidden="1" width="6.625" style="6" customWidth="1"/>
    <col min="73" max="73" hidden="1" width="6.625" style="6" customWidth="1"/>
    <col min="74" max="74" hidden="1" width="6.625" style="6" customWidth="1"/>
    <col min="75" max="75" hidden="1" width="6.625" style="6" customWidth="1"/>
    <col min="76" max="76" hidden="1" width="6.625" style="6" customWidth="1"/>
    <col min="77" max="77" hidden="1" width="6.625" style="6" customWidth="1"/>
    <col min="78" max="78" hidden="1" width="6.625" style="6" customWidth="1"/>
    <col min="79" max="79" hidden="1" width="6.625" style="6" customWidth="1"/>
    <col min="80" max="80" hidden="1" width="6.625" style="6" customWidth="1"/>
    <col min="81" max="81" hidden="1" width="6.625" style="6" customWidth="1"/>
    <col min="82" max="256" width="6.625" style="823" customWidth="1"/>
  </cols>
  <sheetData>
    <row r="1" s="58" customFormat="1" ht="23.25" customHeight="1">
      <c r="B1" t="s" s="475">
        <v>938</v>
      </c>
      <c r="E1" s="10"/>
    </row>
    <row r="2" s="58" customFormat="1" ht="23.25" customHeight="1">
      <c r="B2" s="479"/>
      <c r="E2" s="56"/>
      <c r="F2" s="10"/>
    </row>
    <row r="3" s="58" customFormat="1" ht="15.75" customHeight="1">
      <c r="B3" t="s" s="59">
        <v>56</v>
      </c>
      <c r="C3" s="61"/>
      <c r="E3" s="56"/>
      <c r="F3" s="12"/>
    </row>
    <row r="4" s="58" customFormat="1" ht="15" customHeight="1">
      <c r="B4" t="s" s="484">
        <v>58</v>
      </c>
      <c r="C4" s="485"/>
      <c r="E4" s="56"/>
      <c r="F4" s="56"/>
    </row>
    <row r="5" s="58" customFormat="1" ht="15" customHeight="1">
      <c r="B5" t="s" s="487">
        <v>570</v>
      </c>
      <c r="C5" s="488"/>
      <c r="E5" s="67"/>
      <c r="F5" s="56"/>
    </row>
    <row r="6" s="58" customFormat="1" ht="15" customHeight="1">
      <c r="B6" t="s" s="74">
        <v>734</v>
      </c>
      <c r="C6" s="492"/>
    </row>
    <row r="8" s="58" customFormat="1" ht="36.75" customHeight="1">
      <c r="B8" t="s" s="495">
        <v>735</v>
      </c>
      <c r="C8" t="s" s="495">
        <v>736</v>
      </c>
      <c r="D8" t="s" s="495">
        <v>740</v>
      </c>
      <c r="E8" t="s" s="495">
        <v>744</v>
      </c>
      <c r="F8" t="s" s="495">
        <v>745</v>
      </c>
      <c r="R8" s="502"/>
      <c r="S8" s="107"/>
      <c r="T8" s="503"/>
      <c r="U8" s="107"/>
      <c r="V8" s="107"/>
      <c r="W8" s="107"/>
      <c r="X8" s="107"/>
      <c r="Y8" s="107"/>
      <c r="Z8" s="107"/>
      <c r="AA8" s="504"/>
    </row>
    <row r="9" s="58" customFormat="1" ht="23.25" customHeight="1">
      <c r="B9" s="505"/>
      <c r="C9" s="505"/>
      <c r="D9" t="s" s="506">
        <v>753</v>
      </c>
      <c r="E9" s="506">
        <f>'Project Information'!H16</f>
        <v>0</v>
      </c>
      <c r="F9" s="505"/>
      <c r="P9" t="s" s="511">
        <v>758</v>
      </c>
      <c r="R9" s="512"/>
      <c r="S9" t="s" s="513">
        <v>903</v>
      </c>
      <c r="T9" s="514"/>
      <c r="U9" s="514"/>
      <c r="V9" s="514"/>
      <c r="W9" s="514"/>
      <c r="X9" s="514"/>
      <c r="Y9" s="514"/>
      <c r="Z9" s="514"/>
      <c r="AA9" s="515"/>
    </row>
    <row r="10" s="58" customFormat="1" ht="23.25" customHeight="1">
      <c r="B10" t="s" s="517">
        <v>78</v>
      </c>
      <c r="C10" t="s" s="517">
        <v>78</v>
      </c>
      <c r="D10" t="s" s="517">
        <v>78</v>
      </c>
      <c r="E10" t="s" s="517">
        <v>78</v>
      </c>
      <c r="F10" s="519"/>
      <c r="P10" s="523"/>
      <c r="R10" s="512"/>
      <c r="S10" s="524"/>
      <c r="T10" s="514"/>
      <c r="U10" s="514"/>
      <c r="V10" s="514"/>
      <c r="W10" s="514"/>
      <c r="X10" s="514"/>
      <c r="Y10" s="514"/>
      <c r="Z10" s="514"/>
      <c r="AA10" s="515"/>
    </row>
    <row r="11" s="58" customFormat="1" ht="18" customHeight="1">
      <c r="B11" s="526"/>
      <c r="C11" s="526"/>
      <c r="D11" s="526"/>
      <c r="E11" s="528"/>
      <c r="F11" s="771">
        <f>E11*C11*52</f>
        <v>0</v>
      </c>
      <c r="P11" t="s" s="90">
        <v>939</v>
      </c>
      <c r="R11" s="512"/>
      <c r="S11" s="537"/>
      <c r="T11" s="514"/>
      <c r="U11" s="514"/>
      <c r="V11" s="514"/>
      <c r="W11" s="514"/>
      <c r="X11" s="514"/>
      <c r="Y11" s="514"/>
      <c r="Z11" s="514"/>
      <c r="AA11" s="515"/>
    </row>
    <row r="12" s="58" customFormat="1" ht="18" customHeight="1">
      <c r="B12" s="539"/>
      <c r="C12" s="539"/>
      <c r="D12" s="539"/>
      <c r="E12" s="541"/>
      <c r="F12" s="776">
        <f>E12*C12*52</f>
        <v>0</v>
      </c>
      <c r="P12" t="s" s="90">
        <v>940</v>
      </c>
      <c r="R12" s="512"/>
      <c r="S12" s="546"/>
      <c r="T12" s="514"/>
      <c r="U12" s="514"/>
      <c r="V12" s="514"/>
      <c r="W12" s="514"/>
      <c r="X12" s="514"/>
      <c r="Y12" s="514"/>
      <c r="Z12" s="514"/>
      <c r="AA12" s="515"/>
    </row>
    <row r="13" s="58" customFormat="1" ht="18" customHeight="1">
      <c r="B13" s="539"/>
      <c r="C13" s="539"/>
      <c r="D13" s="539"/>
      <c r="E13" s="802"/>
      <c r="F13" s="776">
        <f>E13*C13*52</f>
        <v>0</v>
      </c>
      <c r="P13" t="s" s="90">
        <v>941</v>
      </c>
      <c r="R13" s="512"/>
      <c r="S13" s="537"/>
      <c r="T13" s="514"/>
      <c r="U13" s="514"/>
      <c r="V13" s="514"/>
      <c r="W13" s="514"/>
      <c r="X13" s="514"/>
      <c r="Y13" s="514"/>
      <c r="Z13" s="514"/>
      <c r="AA13" s="515"/>
    </row>
    <row r="14" s="58" customFormat="1" ht="18" customHeight="1">
      <c r="B14" s="539"/>
      <c r="C14" s="539"/>
      <c r="D14" s="539"/>
      <c r="E14" s="802"/>
      <c r="F14" s="776">
        <f>E14*C14*52</f>
        <v>0</v>
      </c>
      <c r="P14" t="s" s="90">
        <v>942</v>
      </c>
      <c r="R14" s="512"/>
      <c r="S14" s="548"/>
      <c r="T14" s="514"/>
      <c r="U14" s="514"/>
      <c r="V14" s="549"/>
      <c r="W14" s="550"/>
      <c r="X14" s="548"/>
      <c r="Y14" s="548"/>
      <c r="Z14" s="548"/>
      <c r="AA14" s="551"/>
    </row>
    <row r="15" s="58" customFormat="1" ht="18" customHeight="1">
      <c r="B15" s="539"/>
      <c r="C15" s="539"/>
      <c r="D15" s="539"/>
      <c r="E15" s="802"/>
      <c r="F15" s="776">
        <f>E15*C15*52</f>
        <v>0</v>
      </c>
      <c r="P15" t="s" s="90">
        <v>943</v>
      </c>
      <c r="R15" s="512"/>
      <c r="S15" s="548"/>
      <c r="T15" s="514"/>
      <c r="U15" s="514"/>
      <c r="V15" s="549"/>
      <c r="W15" s="514"/>
      <c r="X15" s="537"/>
      <c r="Y15" s="552"/>
      <c r="Z15" s="553"/>
      <c r="AA15" s="515"/>
    </row>
    <row r="16" s="58" customFormat="1" ht="18.75" customHeight="1">
      <c r="B16" s="539"/>
      <c r="C16" s="539"/>
      <c r="D16" s="539"/>
      <c r="E16" s="802"/>
      <c r="F16" s="776">
        <f>E16*C16*52</f>
        <v>0</v>
      </c>
      <c r="P16" t="s" s="90">
        <v>944</v>
      </c>
      <c r="R16" s="512"/>
      <c r="S16" t="s" s="554">
        <v>770</v>
      </c>
      <c r="T16" s="514"/>
      <c r="U16" s="514"/>
      <c r="V16" s="555">
        <v>0</v>
      </c>
      <c r="W16" s="514"/>
      <c r="X16" s="537"/>
      <c r="Y16" s="552"/>
      <c r="Z16" s="553"/>
      <c r="AA16" s="556"/>
    </row>
    <row r="17" s="58" customFormat="1" ht="18" customHeight="1">
      <c r="B17" s="539"/>
      <c r="C17" s="539"/>
      <c r="D17" s="539"/>
      <c r="E17" s="802"/>
      <c r="F17" s="776">
        <f>E17*C17*52</f>
        <v>0</v>
      </c>
      <c r="P17" t="s" s="90">
        <v>945</v>
      </c>
      <c r="R17" s="512"/>
      <c r="S17" t="s" s="554">
        <v>773</v>
      </c>
      <c r="T17" s="514"/>
      <c r="U17" s="514"/>
      <c r="V17" s="557">
        <f>C21</f>
        <v>0</v>
      </c>
      <c r="W17" s="514"/>
      <c r="X17" s="537"/>
      <c r="Y17" s="552"/>
      <c r="Z17" s="553"/>
      <c r="AA17" s="515"/>
    </row>
    <row r="18" s="58" customFormat="1" ht="18" customHeight="1">
      <c r="B18" s="539"/>
      <c r="C18" s="539"/>
      <c r="D18" s="539"/>
      <c r="E18" s="802"/>
      <c r="F18" s="776">
        <f>E18*C18*52</f>
        <v>0</v>
      </c>
      <c r="P18" t="s" s="90">
        <v>595</v>
      </c>
      <c r="R18" s="512"/>
      <c r="S18" t="s" s="554">
        <v>776</v>
      </c>
      <c r="T18" s="514"/>
      <c r="U18" s="514"/>
      <c r="V18" s="558">
        <f>E21</f>
      </c>
      <c r="W18" s="514"/>
      <c r="X18" s="537"/>
      <c r="Y18" s="552"/>
      <c r="Z18" s="553"/>
      <c r="AA18" s="515"/>
    </row>
    <row r="19" s="58" customFormat="1" ht="18" customHeight="1">
      <c r="B19" s="539"/>
      <c r="C19" s="539"/>
      <c r="D19" s="539"/>
      <c r="E19" s="802"/>
      <c r="F19" s="776">
        <f>E19*C19*52</f>
        <v>0</v>
      </c>
      <c r="P19" s="536"/>
      <c r="R19" s="512"/>
      <c r="S19" t="s" s="554">
        <v>780</v>
      </c>
      <c r="T19" s="514"/>
      <c r="U19" s="514"/>
      <c r="V19" s="559">
        <f>'Project Information'!D50</f>
        <v>0.05</v>
      </c>
      <c r="W19" s="514"/>
      <c r="X19" s="537"/>
      <c r="Y19" s="552"/>
      <c r="Z19" s="553"/>
      <c r="AA19" s="515"/>
    </row>
    <row r="20" s="58" customFormat="1" ht="18" customHeight="1">
      <c r="B20" s="539"/>
      <c r="C20" s="560"/>
      <c r="D20" s="560"/>
      <c r="E20" s="803"/>
      <c r="F20" s="782">
        <f>E20*C20*52</f>
        <v>0</v>
      </c>
      <c r="P20" s="536"/>
      <c r="R20" s="512"/>
      <c r="S20" t="s" s="554">
        <v>784</v>
      </c>
      <c r="T20" s="514"/>
      <c r="U20" s="514"/>
      <c r="V20" s="565">
        <f>'Project Information'!D48</f>
        <v>260</v>
      </c>
      <c r="W20" s="549"/>
      <c r="X20" s="537"/>
      <c r="Y20" s="552"/>
      <c r="Z20" s="553"/>
      <c r="AA20" s="515"/>
    </row>
    <row r="21" s="58" customFormat="1" ht="18" customHeight="1">
      <c r="B21" t="s" s="566">
        <v>785</v>
      </c>
      <c r="C21" s="567">
        <f>SUM(C11:C20)</f>
        <v>0</v>
      </c>
      <c r="D21" s="569">
        <f>($C$11*D11)+($C$12*D12)+($C$13*D13)+($C$14*D14)+($C$15*D15)+($C$16*D16)+($C$17*D17)+($C$18*D18)+($C$19*D19)+($C$20*D20)</f>
        <v>0</v>
      </c>
      <c r="E21" s="571">
        <f>(F21/C21)/52</f>
      </c>
      <c r="F21" s="788">
        <f>SUM(F11:F20)</f>
        <v>0</v>
      </c>
      <c r="P21" s="536"/>
      <c r="R21" s="512"/>
      <c r="S21" t="s" s="554">
        <v>789</v>
      </c>
      <c r="T21" s="514"/>
      <c r="U21" s="514"/>
      <c r="V21" s="565">
        <f>'Project Information'!D49</f>
        <v>260</v>
      </c>
      <c r="W21" s="549"/>
      <c r="X21" s="537"/>
      <c r="Y21" s="552"/>
      <c r="Z21" s="553"/>
      <c r="AA21" s="515"/>
    </row>
    <row r="22" s="58" customFormat="1" ht="18" customHeight="1">
      <c r="P22" s="536"/>
      <c r="R22" s="512"/>
      <c r="S22" t="s" s="554">
        <v>793</v>
      </c>
      <c r="T22" s="514"/>
      <c r="U22" s="514"/>
      <c r="V22" s="565">
        <v>0</v>
      </c>
      <c r="W22" s="514"/>
      <c r="X22" s="537"/>
      <c r="Y22" s="552"/>
      <c r="Z22" s="553"/>
      <c r="AA22" s="515"/>
    </row>
    <row r="23" s="58" customFormat="1" ht="18" customHeight="1" hidden="1">
      <c r="P23" s="536"/>
      <c r="R23" s="512"/>
      <c r="S23" t="s" s="554">
        <v>795</v>
      </c>
      <c r="T23" s="514"/>
      <c r="U23" s="514"/>
      <c r="V23" s="555">
        <f>'Project Information'!D51</f>
        <v>0.03</v>
      </c>
      <c r="W23" s="514"/>
      <c r="X23" s="514"/>
      <c r="Y23" s="552"/>
      <c r="Z23" s="514"/>
      <c r="AA23" s="515"/>
    </row>
    <row r="24" s="58" customFormat="1" ht="18" customHeight="1" hidden="1">
      <c r="P24" s="536"/>
      <c r="R24" s="512"/>
      <c r="S24" t="s" s="575">
        <v>798</v>
      </c>
      <c r="T24" s="514"/>
      <c r="U24" s="514"/>
      <c r="V24" s="555">
        <f>'Project Information'!D52</f>
        <v>0.03</v>
      </c>
      <c r="W24" s="514"/>
      <c r="X24" s="514"/>
      <c r="Y24" s="176"/>
      <c r="Z24" s="514"/>
      <c r="AA24" s="515"/>
      <c r="AC24" s="113"/>
    </row>
    <row r="25" s="58" customFormat="1" ht="21" customHeight="1" hidden="1">
      <c r="D25" s="56"/>
      <c r="E25" s="237"/>
      <c r="P25" s="536"/>
      <c r="R25" s="512"/>
      <c r="S25" t="s" s="575">
        <v>801</v>
      </c>
      <c r="T25" s="514"/>
      <c r="U25" s="514"/>
      <c r="V25" s="555">
        <f>'Project Information'!D53</f>
        <v>0.03</v>
      </c>
      <c r="W25" s="514"/>
      <c r="X25" s="514"/>
      <c r="Y25" s="576">
        <f>O15</f>
        <v>0</v>
      </c>
      <c r="Z25" s="577"/>
      <c r="AA25" s="515"/>
    </row>
    <row r="26" s="58" customFormat="1" ht="18" customHeight="1" hidden="1">
      <c r="D26" s="56"/>
      <c r="E26" s="237"/>
      <c r="P26" s="536"/>
      <c r="R26" s="512"/>
      <c r="S26" t="s" s="575">
        <v>910</v>
      </c>
      <c r="T26" s="514"/>
      <c r="U26" s="514"/>
      <c r="V26" s="555">
        <v>0</v>
      </c>
      <c r="W26" s="514"/>
      <c r="X26" s="514"/>
      <c r="Y26" s="514"/>
      <c r="Z26" s="514"/>
      <c r="AA26" s="515"/>
    </row>
    <row r="27" s="58" customFormat="1" ht="18" customHeight="1" hidden="1">
      <c r="E27" s="56"/>
      <c r="P27" s="536"/>
      <c r="R27" s="512"/>
      <c r="S27" t="s" s="554">
        <v>806</v>
      </c>
      <c r="T27" s="657"/>
      <c r="U27" s="514"/>
      <c r="V27" s="557">
        <v>60</v>
      </c>
      <c r="W27" s="514"/>
      <c r="X27" s="514"/>
      <c r="Y27" s="514"/>
      <c r="Z27" s="514"/>
      <c r="AA27" s="515"/>
    </row>
    <row r="28" s="58" customFormat="1" ht="18" customHeight="1" hidden="1">
      <c r="D28" s="790"/>
      <c r="P28" s="536"/>
      <c r="R28" s="512"/>
      <c r="S28" t="s" s="554">
        <v>809</v>
      </c>
      <c r="T28" s="657"/>
      <c r="U28" s="514"/>
      <c r="V28" s="555">
        <f>'Project Information'!H29</f>
        <v>0.06</v>
      </c>
      <c r="W28" s="514"/>
      <c r="X28" s="514"/>
      <c r="Y28" s="514"/>
      <c r="Z28" s="514"/>
      <c r="AA28" s="515"/>
      <c r="AC28" t="s" s="62">
        <v>810</v>
      </c>
      <c r="AD28" t="s" s="62">
        <v>811</v>
      </c>
      <c r="AF28" s="113">
        <f>$S39</f>
        <v>0</v>
      </c>
      <c r="AG28" s="113">
        <f>$S40</f>
        <v>0</v>
      </c>
      <c r="AH28" s="113">
        <f>$S41</f>
        <v>0</v>
      </c>
      <c r="AI28" s="113">
        <f>$S42</f>
        <v>0</v>
      </c>
      <c r="AJ28" s="113">
        <f>$S43</f>
        <v>0</v>
      </c>
      <c r="AK28" s="113">
        <f>$S44</f>
        <v>0</v>
      </c>
      <c r="AL28" s="113">
        <f>$S45</f>
        <v>0</v>
      </c>
      <c r="AM28" s="113">
        <f>$S46</f>
        <v>0</v>
      </c>
      <c r="AN28" s="113">
        <f>$S47</f>
        <v>0</v>
      </c>
      <c r="AO28" s="113">
        <f>$S48</f>
        <v>0</v>
      </c>
      <c r="AP28" s="113">
        <f>$S49</f>
        <v>0</v>
      </c>
      <c r="AQ28" s="113">
        <f>$S50</f>
        <v>0</v>
      </c>
      <c r="AR28" s="113">
        <f>$S51</f>
        <v>0</v>
      </c>
      <c r="AS28" s="113">
        <f>$S52</f>
        <v>0</v>
      </c>
      <c r="AT28" s="113">
        <f>$S53</f>
        <v>0</v>
      </c>
      <c r="AU28" s="113">
        <f>$S54</f>
        <v>0</v>
      </c>
      <c r="AV28" s="113">
        <f>$S55</f>
        <v>0</v>
      </c>
      <c r="AW28" s="113">
        <f>$S56</f>
        <v>0</v>
      </c>
      <c r="AX28" s="113">
        <f>$S57</f>
        <v>0</v>
      </c>
      <c r="AY28" s="113">
        <f>$S58</f>
        <v>0</v>
      </c>
      <c r="AZ28" s="113">
        <f>$S59</f>
        <v>0</v>
      </c>
      <c r="BA28" s="113">
        <f>$S60</f>
        <v>0</v>
      </c>
      <c r="BB28" s="113">
        <f>$S61</f>
        <v>0</v>
      </c>
      <c r="BC28" s="113">
        <f>$S62</f>
        <v>0</v>
      </c>
      <c r="BD28" s="113">
        <f>$S63</f>
        <v>0</v>
      </c>
      <c r="BE28" s="113">
        <f>$S64</f>
        <v>0</v>
      </c>
      <c r="BF28" s="113">
        <f>$S65</f>
        <v>0</v>
      </c>
      <c r="BG28" s="113">
        <f>$S66</f>
        <v>0</v>
      </c>
      <c r="BH28" s="113">
        <f>$S67</f>
        <v>0</v>
      </c>
      <c r="BI28" s="113">
        <f>$S68</f>
        <v>0</v>
      </c>
      <c r="BJ28" s="113">
        <f>$S69</f>
        <v>0</v>
      </c>
      <c r="BK28" s="113">
        <f>$S70</f>
        <v>0</v>
      </c>
      <c r="BL28" s="113">
        <f>$S71</f>
        <v>0</v>
      </c>
      <c r="BM28" s="113">
        <f>$S72</f>
        <v>0</v>
      </c>
      <c r="BN28" s="113">
        <f>$S73</f>
        <v>0</v>
      </c>
      <c r="BO28" s="113">
        <f>$S74</f>
        <v>0</v>
      </c>
      <c r="BP28" s="113">
        <f>$S75</f>
        <v>0</v>
      </c>
      <c r="BQ28" s="113">
        <f>$S76</f>
        <v>0</v>
      </c>
      <c r="BR28" s="113">
        <f>$S77</f>
        <v>0</v>
      </c>
      <c r="BS28" s="113">
        <f>$S78</f>
        <v>0</v>
      </c>
      <c r="BT28" s="113">
        <f>$S79</f>
        <v>0</v>
      </c>
      <c r="BU28" s="113">
        <f>$S80</f>
        <v>0</v>
      </c>
      <c r="BV28" s="113">
        <f>$S81</f>
        <v>0</v>
      </c>
      <c r="BW28" s="113">
        <f>$S82</f>
        <v>0</v>
      </c>
      <c r="BX28" s="113">
        <f>$S83</f>
        <v>0</v>
      </c>
      <c r="BY28" s="113">
        <f>$S84</f>
        <v>0</v>
      </c>
      <c r="BZ28" s="113">
        <f>$S85</f>
        <v>0</v>
      </c>
      <c r="CA28" s="113">
        <f>$S86</f>
        <v>0</v>
      </c>
      <c r="CB28" s="113">
        <f>$S87</f>
        <v>0</v>
      </c>
      <c r="CC28" s="807">
        <f>$S88</f>
        <v>0</v>
      </c>
    </row>
    <row r="29" s="58" customFormat="1" ht="18" customHeight="1" hidden="1">
      <c r="D29" s="792"/>
      <c r="P29" s="536"/>
      <c r="R29" s="512"/>
      <c r="S29" s="549"/>
      <c r="T29" s="514"/>
      <c r="U29" s="514"/>
      <c r="V29" s="555"/>
      <c r="W29" s="514"/>
      <c r="X29" s="514"/>
      <c r="Y29" s="514"/>
      <c r="Z29" s="514"/>
      <c r="AA29" s="515"/>
      <c r="AC29" t="s" s="62">
        <v>175</v>
      </c>
      <c r="AF29" s="113">
        <f>T39</f>
        <v>0</v>
      </c>
      <c r="AG29" s="113">
        <f>$T40</f>
        <v>0</v>
      </c>
      <c r="AH29" s="113">
        <f>$T41</f>
        <v>0</v>
      </c>
      <c r="AI29" s="113">
        <f>$T42</f>
        <v>0</v>
      </c>
      <c r="AJ29" s="113">
        <f>$T43</f>
        <v>0</v>
      </c>
      <c r="AK29" s="113">
        <f>$T44</f>
        <v>0</v>
      </c>
      <c r="AL29" s="113">
        <f>$T45</f>
        <v>0</v>
      </c>
      <c r="AM29" s="113">
        <f>$T46</f>
        <v>0</v>
      </c>
      <c r="AN29" s="113">
        <f>$T47</f>
        <v>0</v>
      </c>
      <c r="AO29" s="113">
        <f>$T48</f>
        <v>0</v>
      </c>
      <c r="AP29" s="113">
        <f>$T49</f>
        <v>0</v>
      </c>
      <c r="AQ29" s="113">
        <f>$T50</f>
        <v>0</v>
      </c>
      <c r="AR29" s="113">
        <f>$T51</f>
        <v>0</v>
      </c>
      <c r="AS29" s="113">
        <f>$T52</f>
        <v>0</v>
      </c>
      <c r="AT29" s="113">
        <f>$T53</f>
        <v>0</v>
      </c>
      <c r="AU29" s="113">
        <f>$T54</f>
        <v>0</v>
      </c>
      <c r="AV29" s="113">
        <f>$T55</f>
        <v>0</v>
      </c>
      <c r="AW29" s="113">
        <f>$T56</f>
        <v>0</v>
      </c>
      <c r="AX29" s="113">
        <f>$T57</f>
        <v>0</v>
      </c>
      <c r="AY29" s="113">
        <f>$T58</f>
        <v>0</v>
      </c>
      <c r="AZ29" s="113">
        <f>$T59</f>
        <v>0</v>
      </c>
      <c r="BA29" s="113">
        <f>$T60</f>
        <v>0</v>
      </c>
      <c r="BB29" s="113">
        <f>$T61</f>
        <v>0</v>
      </c>
      <c r="BC29" s="113">
        <f>$T62</f>
        <v>0</v>
      </c>
      <c r="BD29" s="113">
        <f>$T63</f>
        <v>0</v>
      </c>
      <c r="BE29" s="113">
        <f>$T64</f>
        <v>0</v>
      </c>
      <c r="BF29" s="113">
        <f>$T65</f>
        <v>0</v>
      </c>
      <c r="BG29" s="113">
        <f>$T66</f>
        <v>0</v>
      </c>
      <c r="BH29" s="113">
        <f>$T67</f>
        <v>0</v>
      </c>
      <c r="BI29" s="113">
        <f>$T68</f>
        <v>0</v>
      </c>
      <c r="BJ29" s="113">
        <f>$T69</f>
        <v>0</v>
      </c>
      <c r="BK29" s="113">
        <f>$T70</f>
        <v>0</v>
      </c>
      <c r="BL29" s="113">
        <f>$T71</f>
        <v>0</v>
      </c>
      <c r="BM29" s="113">
        <f>$T72</f>
        <v>0</v>
      </c>
      <c r="BN29" s="113">
        <f>$T73</f>
        <v>0</v>
      </c>
      <c r="BO29" s="113">
        <f>$T74</f>
        <v>0</v>
      </c>
      <c r="BP29" s="113">
        <f>$T75</f>
        <v>0</v>
      </c>
      <c r="BQ29" s="113">
        <f>$T76</f>
        <v>0</v>
      </c>
      <c r="BR29" s="113">
        <f>$T77</f>
        <v>0</v>
      </c>
      <c r="BS29" s="113">
        <f>$T78</f>
        <v>0</v>
      </c>
      <c r="BT29" s="113">
        <f>$T79</f>
        <v>0</v>
      </c>
      <c r="BU29" s="113">
        <f>$T80</f>
        <v>0</v>
      </c>
      <c r="BV29" s="113">
        <f>$T81</f>
        <v>0</v>
      </c>
      <c r="BW29" s="113">
        <f>$T82</f>
        <v>0</v>
      </c>
      <c r="BX29" s="113">
        <f>$T83</f>
        <v>0</v>
      </c>
      <c r="BY29" s="113">
        <f>$T84</f>
        <v>0</v>
      </c>
      <c r="BZ29" s="113">
        <f>$T85</f>
        <v>0</v>
      </c>
      <c r="CA29" s="113">
        <f>$T86</f>
        <v>0</v>
      </c>
      <c r="CB29" s="113">
        <f>$T87</f>
        <v>0</v>
      </c>
      <c r="CC29" s="807">
        <f>$T88</f>
        <v>0</v>
      </c>
    </row>
    <row r="30" s="58" customFormat="1" ht="18" customHeight="1" hidden="1">
      <c r="D30" s="793"/>
      <c r="P30" s="536"/>
      <c r="R30" s="584"/>
      <c r="S30" s="585"/>
      <c r="T30" s="101"/>
      <c r="U30" s="101"/>
      <c r="V30" s="586"/>
      <c r="W30" s="101"/>
      <c r="X30" s="101"/>
      <c r="Y30" s="101"/>
      <c r="Z30" t="s" s="808">
        <v>911</v>
      </c>
      <c r="AA30" s="588"/>
      <c r="AC30" t="s" s="62">
        <v>814</v>
      </c>
      <c r="AF30" s="113">
        <f>U39</f>
        <v>0</v>
      </c>
      <c r="AG30" s="113">
        <f>$U40</f>
        <v>0</v>
      </c>
      <c r="AH30" s="113">
        <f>$U41</f>
        <v>0</v>
      </c>
      <c r="AI30" s="113">
        <f>$U42</f>
        <v>0</v>
      </c>
      <c r="AJ30" s="113">
        <f>$U43</f>
        <v>0</v>
      </c>
      <c r="AK30" s="113">
        <f>$U44</f>
        <v>0</v>
      </c>
      <c r="AL30" s="113">
        <f>$U45</f>
        <v>0</v>
      </c>
      <c r="AM30" s="113">
        <f>$U46</f>
        <v>0</v>
      </c>
      <c r="AN30" s="113">
        <f>$U47</f>
        <v>0</v>
      </c>
      <c r="AO30" s="113">
        <f>$U48</f>
        <v>0</v>
      </c>
      <c r="AP30" s="113">
        <f>$U49</f>
        <v>0</v>
      </c>
      <c r="AQ30" s="113">
        <f>$U50</f>
        <v>0</v>
      </c>
      <c r="AR30" s="113">
        <f>$U51</f>
        <v>0</v>
      </c>
      <c r="AS30" s="113">
        <f>$U52</f>
        <v>0</v>
      </c>
      <c r="AT30" s="113">
        <f>$U53</f>
        <v>0</v>
      </c>
      <c r="AU30" s="113">
        <f>$U54</f>
        <v>0</v>
      </c>
      <c r="AV30" s="113">
        <f>$U55</f>
        <v>0</v>
      </c>
      <c r="AW30" s="113">
        <f>$U56</f>
        <v>0</v>
      </c>
      <c r="AX30" s="113">
        <f>$U57</f>
        <v>0</v>
      </c>
      <c r="AY30" s="113">
        <f>$U58</f>
        <v>0</v>
      </c>
      <c r="AZ30" s="113">
        <f>$U59</f>
        <v>0</v>
      </c>
      <c r="BA30" s="113">
        <f>$U60</f>
        <v>0</v>
      </c>
      <c r="BB30" s="113">
        <f>$U61</f>
        <v>0</v>
      </c>
      <c r="BC30" s="113">
        <f>$U62</f>
        <v>0</v>
      </c>
      <c r="BD30" s="113">
        <f>$U63</f>
        <v>0</v>
      </c>
      <c r="BE30" s="113">
        <f>$U64</f>
        <v>0</v>
      </c>
      <c r="BF30" s="113">
        <f>$U65</f>
        <v>0</v>
      </c>
      <c r="BG30" s="113">
        <f>$U66</f>
        <v>0</v>
      </c>
      <c r="BH30" s="113">
        <f>$U67</f>
        <v>0</v>
      </c>
      <c r="BI30" s="113">
        <f>$U68</f>
        <v>0</v>
      </c>
      <c r="BJ30" s="113">
        <f>$U69</f>
        <v>0</v>
      </c>
      <c r="BK30" s="113">
        <f>$U70</f>
        <v>0</v>
      </c>
      <c r="BL30" s="113">
        <f>$U71</f>
        <v>0</v>
      </c>
      <c r="BM30" s="113">
        <f>$U72</f>
        <v>0</v>
      </c>
      <c r="BN30" s="113">
        <f>$U73</f>
        <v>0</v>
      </c>
      <c r="BO30" s="113">
        <f>$U74</f>
        <v>0</v>
      </c>
      <c r="BP30" s="113">
        <f>$U75</f>
        <v>0</v>
      </c>
      <c r="BQ30" s="113">
        <f>$U76</f>
        <v>0</v>
      </c>
      <c r="BR30" s="113">
        <f>$U77</f>
        <v>0</v>
      </c>
      <c r="BS30" s="113">
        <f>$U78</f>
        <v>0</v>
      </c>
      <c r="BT30" s="113">
        <f>$U79</f>
        <v>0</v>
      </c>
      <c r="BU30" s="113">
        <f>$U80</f>
        <v>0</v>
      </c>
      <c r="BV30" s="113">
        <f>$U81</f>
        <v>0</v>
      </c>
      <c r="BW30" s="113">
        <f>$U82</f>
        <v>0</v>
      </c>
      <c r="BX30" s="113">
        <f>$U83</f>
        <v>0</v>
      </c>
      <c r="BY30" s="113">
        <f>$U84</f>
        <v>0</v>
      </c>
      <c r="BZ30" s="113">
        <f>$U85</f>
        <v>0</v>
      </c>
      <c r="CA30" s="113">
        <f>$U86</f>
        <v>0</v>
      </c>
      <c r="CB30" s="113">
        <f>$U87</f>
        <v>0</v>
      </c>
      <c r="CC30" s="807">
        <f>$U88</f>
        <v>0</v>
      </c>
    </row>
    <row r="31" s="58" customFormat="1" ht="18" customHeight="1" hidden="1">
      <c r="D31" s="793"/>
      <c r="P31" s="536"/>
      <c r="R31" s="584"/>
      <c r="S31" s="585"/>
      <c r="T31" s="101"/>
      <c r="U31" s="101"/>
      <c r="V31" s="585"/>
      <c r="W31" s="101"/>
      <c r="X31" s="101"/>
      <c r="Y31" s="101"/>
      <c r="Z31" s="587"/>
      <c r="AA31" t="s" s="589">
        <v>817</v>
      </c>
      <c r="AC31" t="s" s="62">
        <v>818</v>
      </c>
      <c r="AF31" s="113">
        <f>V39</f>
        <v>0</v>
      </c>
      <c r="AG31" s="113">
        <f>$V40</f>
        <v>0</v>
      </c>
      <c r="AH31" s="113">
        <f>$V41</f>
        <v>0</v>
      </c>
      <c r="AI31" s="113">
        <f>$V42</f>
        <v>0</v>
      </c>
      <c r="AJ31" s="113">
        <f>$V43</f>
        <v>0</v>
      </c>
      <c r="AK31" s="113">
        <f>$V44</f>
        <v>0</v>
      </c>
      <c r="AL31" s="113">
        <f>$V45</f>
        <v>0</v>
      </c>
      <c r="AM31" s="113">
        <f>$V46</f>
        <v>0</v>
      </c>
      <c r="AN31" s="113">
        <f>$V47</f>
        <v>0</v>
      </c>
      <c r="AO31" s="113">
        <f>$V48</f>
        <v>0</v>
      </c>
      <c r="AP31" s="113">
        <f>$V49</f>
        <v>0</v>
      </c>
      <c r="AQ31" s="113">
        <f>$V50</f>
        <v>0</v>
      </c>
      <c r="AR31" s="113">
        <f>$V51</f>
        <v>0</v>
      </c>
      <c r="AS31" s="113">
        <f>$V52</f>
        <v>0</v>
      </c>
      <c r="AT31" s="113">
        <f>$V53</f>
        <v>0</v>
      </c>
      <c r="AU31" s="113">
        <f>$V54</f>
        <v>0</v>
      </c>
      <c r="AV31" s="113">
        <f>$V55</f>
        <v>0</v>
      </c>
      <c r="AW31" s="113">
        <f>$V56</f>
        <v>0</v>
      </c>
      <c r="AX31" s="113">
        <f>$V57</f>
        <v>0</v>
      </c>
      <c r="AY31" s="113">
        <f>$V58</f>
        <v>0</v>
      </c>
      <c r="AZ31" s="113">
        <f>$V59</f>
        <v>0</v>
      </c>
      <c r="BA31" s="113">
        <f>$V60</f>
        <v>0</v>
      </c>
      <c r="BB31" s="113">
        <f>$V61</f>
        <v>0</v>
      </c>
      <c r="BC31" s="113">
        <f>$V62</f>
        <v>0</v>
      </c>
      <c r="BD31" s="113">
        <f>$V63</f>
        <v>0</v>
      </c>
      <c r="BE31" s="113">
        <f>$V64</f>
        <v>0</v>
      </c>
      <c r="BF31" s="113">
        <f>$V65</f>
        <v>0</v>
      </c>
      <c r="BG31" s="113">
        <f>$V66</f>
        <v>0</v>
      </c>
      <c r="BH31" s="113">
        <f>$V67</f>
        <v>0</v>
      </c>
      <c r="BI31" s="113">
        <f>$V68</f>
        <v>0</v>
      </c>
      <c r="BJ31" s="113">
        <f>$V69</f>
        <v>0</v>
      </c>
      <c r="BK31" s="113">
        <f>$V70</f>
        <v>0</v>
      </c>
      <c r="BL31" s="113">
        <f>$V71</f>
        <v>0</v>
      </c>
      <c r="BM31" s="113">
        <f>$V72</f>
        <v>0</v>
      </c>
      <c r="BN31" s="113">
        <f>$V73</f>
        <v>0</v>
      </c>
      <c r="BO31" s="113">
        <f>$V74</f>
        <v>0</v>
      </c>
      <c r="BP31" s="113">
        <f>$V75</f>
        <v>0</v>
      </c>
      <c r="BQ31" s="113">
        <f>$V76</f>
        <v>0</v>
      </c>
      <c r="BR31" s="113">
        <f>$V77</f>
        <v>0</v>
      </c>
      <c r="BS31" s="113">
        <f>$V78</f>
        <v>0</v>
      </c>
      <c r="BT31" s="113">
        <f>$V79</f>
        <v>0</v>
      </c>
      <c r="BU31" s="113">
        <f>$V80</f>
        <v>0</v>
      </c>
      <c r="BV31" s="113">
        <f>$V81</f>
        <v>0</v>
      </c>
      <c r="BW31" s="113">
        <f>$V82</f>
        <v>0</v>
      </c>
      <c r="BX31" s="113">
        <f>$V83</f>
        <v>0</v>
      </c>
      <c r="BY31" s="113">
        <f>$V84</f>
        <v>0</v>
      </c>
      <c r="BZ31" s="113">
        <f>$V85</f>
        <v>0</v>
      </c>
      <c r="CA31" s="113">
        <f>$V86</f>
        <v>0</v>
      </c>
      <c r="CB31" s="113">
        <f>$V87</f>
        <v>0</v>
      </c>
      <c r="CC31" s="807">
        <f>$V88</f>
        <v>0</v>
      </c>
    </row>
    <row r="32" s="58" customFormat="1" ht="18" customHeight="1" hidden="1">
      <c r="P32" s="536"/>
      <c r="R32" s="584"/>
      <c r="S32" s="101"/>
      <c r="T32" s="101"/>
      <c r="U32" s="101"/>
      <c r="V32" s="101"/>
      <c r="W32" s="101"/>
      <c r="X32" s="101"/>
      <c r="Y32" s="101"/>
      <c r="Z32" s="585"/>
      <c r="AA32" s="590">
        <f>IF(V17=0,0,AA99)</f>
        <v>0</v>
      </c>
      <c r="AC32" t="s" s="62">
        <v>821</v>
      </c>
      <c r="AF32" s="113">
        <f>IF($V$17=0,0,W39)</f>
        <v>0</v>
      </c>
      <c r="AG32" s="113">
        <f>IF($V$17=0,0,$W40)</f>
        <v>0</v>
      </c>
      <c r="AH32" s="113">
        <f>IF($V$17=0,0,$W41)</f>
        <v>0</v>
      </c>
      <c r="AI32" s="113">
        <f>IF($V$17=0,0,$W42)</f>
        <v>0</v>
      </c>
      <c r="AJ32" s="113">
        <f>IF($V$17=0,0,$W43)</f>
        <v>0</v>
      </c>
      <c r="AK32" s="113">
        <f>IF($V$17=0,0,$W44)</f>
        <v>0</v>
      </c>
      <c r="AL32" s="113">
        <f>IF($V$17=0,0,$W45)</f>
        <v>0</v>
      </c>
      <c r="AM32" s="113">
        <f>IF($V$17=0,0,$W46)</f>
        <v>0</v>
      </c>
      <c r="AN32" s="113">
        <f>IF($V$17=0,0,$W47)</f>
        <v>0</v>
      </c>
      <c r="AO32" s="113">
        <f>IF($V$17=0,0,$W48)</f>
        <v>0</v>
      </c>
      <c r="AP32" s="113">
        <f>IF($V$17=0,0,$W49)</f>
        <v>0</v>
      </c>
      <c r="AQ32" s="113">
        <f>IF($V$17=0,0,$W50)</f>
        <v>0</v>
      </c>
      <c r="AR32" s="113">
        <f>IF($V$17=0,0,$W51)</f>
        <v>0</v>
      </c>
      <c r="AS32" s="113">
        <f>IF($V$17=0,0,$W52)</f>
        <v>0</v>
      </c>
      <c r="AT32" s="113">
        <f>IF($V$17=0,0,$W53)</f>
        <v>0</v>
      </c>
      <c r="AU32" s="113">
        <f>IF($V$17=0,0,$W54)</f>
        <v>0</v>
      </c>
      <c r="AV32" s="113">
        <f>IF($V$17=0,0,$W55)</f>
        <v>0</v>
      </c>
      <c r="AW32" s="113">
        <f>IF($V$17=0,0,$W56)</f>
        <v>0</v>
      </c>
      <c r="AX32" s="113">
        <f>IF($V$17=0,0,$W57)</f>
        <v>0</v>
      </c>
      <c r="AY32" s="113">
        <f>IF($V$17=0,0,$W58)</f>
        <v>0</v>
      </c>
      <c r="AZ32" s="113">
        <f>IF($V$17=0,0,$W59)</f>
        <v>0</v>
      </c>
      <c r="BA32" s="113">
        <f>IF($V$17=0,0,$W60)</f>
        <v>0</v>
      </c>
      <c r="BB32" s="113">
        <f>IF($V$17=0,0,$W61)</f>
        <v>0</v>
      </c>
      <c r="BC32" s="113">
        <f>IF($V$17=0,0,$W62)</f>
        <v>0</v>
      </c>
      <c r="BD32" s="113">
        <f>IF($V$17=0,0,$W63)</f>
        <v>0</v>
      </c>
      <c r="BE32" s="113">
        <f>IF($V$17=0,0,$W64)</f>
        <v>0</v>
      </c>
      <c r="BF32" s="113">
        <f>IF($V$17=0,0,$W65)</f>
        <v>0</v>
      </c>
      <c r="BG32" s="113">
        <f>IF($V$17=0,0,$W66)</f>
        <v>0</v>
      </c>
      <c r="BH32" s="113">
        <f>IF($V$17=0,0,$W67)</f>
        <v>0</v>
      </c>
      <c r="BI32" s="113">
        <f>IF($V$17=0,0,$W68)</f>
        <v>0</v>
      </c>
      <c r="BJ32" s="113">
        <f>IF($V$17=0,0,$W69)</f>
        <v>0</v>
      </c>
      <c r="BK32" s="113">
        <f>IF($V$17=0,0,$W70)</f>
        <v>0</v>
      </c>
      <c r="BL32" s="113">
        <f>IF($V$17=0,0,$W71)</f>
        <v>0</v>
      </c>
      <c r="BM32" s="113">
        <f>IF($V$17=0,0,$W72)</f>
        <v>0</v>
      </c>
      <c r="BN32" s="113">
        <f>IF($V$17=0,0,$W73)</f>
        <v>0</v>
      </c>
      <c r="BO32" s="113">
        <f>IF($V$17=0,0,$W74)</f>
        <v>0</v>
      </c>
      <c r="BP32" s="113">
        <f>IF($V$17=0,0,$W75)</f>
        <v>0</v>
      </c>
      <c r="BQ32" s="113">
        <f>IF($V$17=0,0,$W76)</f>
        <v>0</v>
      </c>
      <c r="BR32" s="113">
        <f>IF($V$17=0,0,$W77)</f>
        <v>0</v>
      </c>
      <c r="BS32" s="113">
        <f>IF($V$17=0,0,$W78)</f>
        <v>0</v>
      </c>
      <c r="BT32" s="113">
        <f>IF($V$17=0,0,$W79)</f>
        <v>0</v>
      </c>
      <c r="BU32" s="113">
        <f>IF($V$17=0,0,$W80)</f>
        <v>0</v>
      </c>
      <c r="BV32" s="113">
        <f>IF($V$17=0,0,$W81)</f>
        <v>0</v>
      </c>
      <c r="BW32" s="113">
        <f>IF($V$17=0,0,$W82)</f>
        <v>0</v>
      </c>
      <c r="BX32" s="113">
        <f>IF($V$17=0,0,$W83)</f>
        <v>0</v>
      </c>
      <c r="BY32" s="113">
        <f>IF($V$17=0,0,$W84)</f>
        <v>0</v>
      </c>
      <c r="BZ32" s="113">
        <f>IF($V$17=0,0,$W85)</f>
        <v>0</v>
      </c>
      <c r="CA32" s="113">
        <f>IF($V$17=0,0,$W86)</f>
        <v>0</v>
      </c>
      <c r="CB32" s="113">
        <f>IF($V$17=0,0,$W87)</f>
        <v>0</v>
      </c>
      <c r="CC32" s="807">
        <f>IF($V$17=0,0,$W88)</f>
        <v>0</v>
      </c>
    </row>
    <row r="33" s="58" customFormat="1" ht="18" customHeight="1" hidden="1">
      <c r="P33" s="536"/>
      <c r="R33" s="584"/>
      <c r="S33" s="101"/>
      <c r="T33" s="101"/>
      <c r="U33" s="101"/>
      <c r="V33" s="101"/>
      <c r="W33" s="101"/>
      <c r="X33" s="101"/>
      <c r="Y33" s="101"/>
      <c r="Z33" s="585"/>
      <c r="AA33" s="590"/>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row>
    <row r="34" s="58" customFormat="1" ht="18" customHeight="1" hidden="1">
      <c r="P34" s="536"/>
      <c r="R34" s="584"/>
      <c r="S34" s="101"/>
      <c r="T34" s="101"/>
      <c r="U34" s="101"/>
      <c r="V34" s="101"/>
      <c r="W34" s="101"/>
      <c r="X34" s="101"/>
      <c r="Y34" s="101"/>
      <c r="Z34" s="585"/>
      <c r="AA34" s="590"/>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row>
    <row r="35" s="58" customFormat="1" ht="18" customHeight="1" hidden="1">
      <c r="P35" s="536"/>
      <c r="R35" s="584"/>
      <c r="S35" s="555">
        <f>V23</f>
        <v>0.03</v>
      </c>
      <c r="T35" s="555">
        <f>V19</f>
        <v>0.05</v>
      </c>
      <c r="U35" s="555">
        <f>V24</f>
        <v>0.03</v>
      </c>
      <c r="V35" s="555">
        <f>V25</f>
        <v>0.03</v>
      </c>
      <c r="W35" s="555">
        <f>V26</f>
        <v>0</v>
      </c>
      <c r="X35" s="101"/>
      <c r="Y35" s="555">
        <f>V29</f>
        <v>0</v>
      </c>
      <c r="Z35" s="585"/>
      <c r="AA35" t="s" s="591">
        <v>824</v>
      </c>
    </row>
    <row r="36" s="58" customFormat="1" ht="18" customHeight="1" hidden="1">
      <c r="P36" s="536"/>
      <c r="R36" t="s" s="593">
        <v>826</v>
      </c>
      <c r="S36" t="s" s="594">
        <v>810</v>
      </c>
      <c r="T36" t="s" s="594">
        <v>175</v>
      </c>
      <c r="U36" t="s" s="594">
        <v>814</v>
      </c>
      <c r="V36" t="s" s="594">
        <v>818</v>
      </c>
      <c r="W36" t="s" s="594">
        <v>821</v>
      </c>
      <c r="X36" t="s" s="594">
        <v>827</v>
      </c>
      <c r="Y36" t="s" s="594">
        <v>912</v>
      </c>
      <c r="Z36" t="s" s="594">
        <v>829</v>
      </c>
      <c r="AA36" t="s" s="595">
        <v>829</v>
      </c>
    </row>
    <row r="37" s="58" customFormat="1" ht="18" customHeight="1" hidden="1">
      <c r="P37" s="536"/>
      <c r="R37" s="584"/>
      <c r="S37" t="s" s="594">
        <v>811</v>
      </c>
      <c r="T37" t="s" s="594">
        <v>811</v>
      </c>
      <c r="U37" t="s" s="594">
        <v>811</v>
      </c>
      <c r="V37" t="s" s="594">
        <v>811</v>
      </c>
      <c r="W37" t="s" s="594">
        <v>811</v>
      </c>
      <c r="X37" t="s" s="594">
        <v>811</v>
      </c>
      <c r="Y37" t="s" s="594">
        <v>811</v>
      </c>
      <c r="Z37" t="s" s="594">
        <v>811</v>
      </c>
      <c r="AA37" t="s" s="595">
        <v>622</v>
      </c>
    </row>
    <row r="38" s="58" customFormat="1" ht="15" customHeight="1" hidden="1">
      <c r="P38" s="536"/>
      <c r="R38" s="584"/>
      <c r="S38" s="101"/>
      <c r="T38" s="101"/>
      <c r="U38" s="101"/>
      <c r="V38" s="101"/>
      <c r="W38" s="101"/>
      <c r="X38" s="101"/>
      <c r="Y38" s="101"/>
      <c r="Z38" s="101"/>
      <c r="AA38" s="596"/>
    </row>
    <row r="39" s="58" customFormat="1" ht="18" customHeight="1" hidden="1">
      <c r="P39" s="536"/>
      <c r="R39" s="584">
        <v>1</v>
      </c>
      <c r="S39" s="598">
        <f>F21</f>
        <v>0</v>
      </c>
      <c r="T39" s="598">
        <f>ROUND(-S39*$V$19,0)</f>
        <v>0</v>
      </c>
      <c r="U39" s="598">
        <f>ROUND(-V17*V20,0)</f>
        <v>0</v>
      </c>
      <c r="V39" s="598">
        <f>ROUND(-V17*V21,0)</f>
        <v>0</v>
      </c>
      <c r="W39" s="598">
        <f>$U$135*0</f>
        <v>0</v>
      </c>
      <c r="X39" s="598">
        <f>SUM(S39:W39)</f>
        <v>0</v>
      </c>
      <c r="Y39" s="598"/>
      <c r="Z39" s="598">
        <f>SUM(X39:Y39)</f>
        <v>0</v>
      </c>
      <c r="AA39" s="599">
        <f>X39*(1/((1+$V$28)^(R39-0.5)))</f>
        <v>0</v>
      </c>
    </row>
    <row r="40" s="58" customFormat="1" ht="18" customHeight="1" hidden="1">
      <c r="P40" s="536"/>
      <c r="R40" s="584">
        <f>R39+1</f>
        <v>2</v>
      </c>
      <c r="S40" s="598">
        <f>S39*(1+$V$23)</f>
        <v>0</v>
      </c>
      <c r="T40" s="598">
        <f>ROUND(-S40*$V$19,0)</f>
        <v>0</v>
      </c>
      <c r="U40" s="598">
        <f>IF(R40&gt;$V$27,0,ROUND(U39*(1+$V$24),0))</f>
        <v>0</v>
      </c>
      <c r="V40" s="598">
        <f>IF(R40&gt;$V$27,0,ROUND(V39*(1+$V$25),0))</f>
        <v>0</v>
      </c>
      <c r="W40" s="598">
        <f t="shared" si="295" ref="W40:W41">$W$135*0</f>
        <v>0</v>
      </c>
      <c r="X40" s="598">
        <f>SUM(S40:W40)</f>
        <v>0</v>
      </c>
      <c r="Y40" s="598"/>
      <c r="Z40" s="598">
        <f>SUM(X40:Y40)</f>
        <v>0</v>
      </c>
      <c r="AA40" s="599">
        <f>X40*(1/((1+$V$28)^(R40-0.5)))</f>
        <v>0</v>
      </c>
    </row>
    <row r="41" s="58" customFormat="1" ht="18" customHeight="1" hidden="1">
      <c r="P41" s="536"/>
      <c r="R41" s="584">
        <f>R40+1</f>
        <v>3</v>
      </c>
      <c r="S41" s="598">
        <f>S40*(1+$V$23)</f>
        <v>0</v>
      </c>
      <c r="T41" s="598">
        <f>ROUND(-S41*$V$19,0)</f>
        <v>0</v>
      </c>
      <c r="U41" s="598">
        <f>IF(R41&gt;$V$27,0,ROUND(U40*(1+$V$24),0))</f>
        <v>0</v>
      </c>
      <c r="V41" s="598">
        <f>IF(R41&gt;$V$27,0,ROUND(V40*(1+$V$25),0))</f>
        <v>0</v>
      </c>
      <c r="W41" s="598">
        <f t="shared" si="295"/>
        <v>0</v>
      </c>
      <c r="X41" s="598">
        <f>SUM(S41:W41)</f>
        <v>0</v>
      </c>
      <c r="Y41" s="598"/>
      <c r="Z41" s="598">
        <f>SUM(X41:Y41)</f>
        <v>0</v>
      </c>
      <c r="AA41" s="599">
        <f>X41*(1/((1+$V$28)^(R41-0.5)))</f>
        <v>0</v>
      </c>
    </row>
    <row r="42" s="58" customFormat="1" ht="18" customHeight="1" hidden="1">
      <c r="P42" s="536"/>
      <c r="R42" s="584">
        <f>R41+1</f>
        <v>4</v>
      </c>
      <c r="S42" s="598">
        <f>S41*(1+$V$23)</f>
        <v>0</v>
      </c>
      <c r="T42" s="598">
        <f>ROUND(-S42*$V$19,0)</f>
        <v>0</v>
      </c>
      <c r="U42" s="598">
        <f>IF(R42&gt;$V$27,0,ROUND(U41*(1+$V$24),0))</f>
        <v>0</v>
      </c>
      <c r="V42" s="598">
        <f>IF(R42&gt;$V$27,0,ROUND(V41*(1+$V$25),0))</f>
        <v>0</v>
      </c>
      <c r="W42" s="598">
        <f t="shared" si="313" ref="W42:W44">$W$135*0.016</f>
        <v>0</v>
      </c>
      <c r="X42" s="598">
        <f>SUM(S42:W42)</f>
        <v>0</v>
      </c>
      <c r="Y42" s="598"/>
      <c r="Z42" s="598">
        <f>SUM(X42:Y42)</f>
        <v>0</v>
      </c>
      <c r="AA42" s="599">
        <f>X42*(1/((1+$V$28)^(R42-0.5)))</f>
        <v>0</v>
      </c>
    </row>
    <row r="43" s="58" customFormat="1" ht="18" customHeight="1" hidden="1">
      <c r="P43" s="536"/>
      <c r="R43" s="584">
        <f>R42+1</f>
        <v>5</v>
      </c>
      <c r="S43" s="598">
        <f>S42*(1+$V$23)</f>
        <v>0</v>
      </c>
      <c r="T43" s="598">
        <f>ROUND(-S43*$V$19,0)</f>
        <v>0</v>
      </c>
      <c r="U43" s="598">
        <f>IF(R43&gt;$V$27,0,ROUND(U42*(1+$V$24),0))</f>
        <v>0</v>
      </c>
      <c r="V43" s="598">
        <f>IF(R43&gt;$V$27,0,ROUND(V42*(1+$V$25),0))</f>
        <v>0</v>
      </c>
      <c r="W43" s="598">
        <f t="shared" si="313"/>
        <v>0</v>
      </c>
      <c r="X43" s="598">
        <f>SUM(S43:W43)</f>
        <v>0</v>
      </c>
      <c r="Y43" s="598"/>
      <c r="Z43" s="598">
        <f>SUM(X43:Y43)</f>
        <v>0</v>
      </c>
      <c r="AA43" s="599">
        <f>X43*(1/((1+$V$28)^(R43-0.5)))</f>
        <v>0</v>
      </c>
    </row>
    <row r="44" s="58" customFormat="1" ht="18" customHeight="1" hidden="1">
      <c r="P44" s="536"/>
      <c r="R44" s="584">
        <f>R43+1</f>
        <v>6</v>
      </c>
      <c r="S44" s="598">
        <f>S43*(1+$V$23)</f>
        <v>0</v>
      </c>
      <c r="T44" s="598">
        <f>ROUND(-S44*$V$19,0)</f>
        <v>0</v>
      </c>
      <c r="U44" s="598">
        <f>IF(R44&gt;$V$27,0,ROUND(U43*(1+$V$24),0))</f>
        <v>0</v>
      </c>
      <c r="V44" s="598">
        <f>IF(R44&gt;$V$27,0,ROUND(V43*(1+$V$25),0))</f>
        <v>0</v>
      </c>
      <c r="W44" s="598">
        <f t="shared" si="313"/>
        <v>0</v>
      </c>
      <c r="X44" s="598">
        <f>SUM(S44:W44)</f>
        <v>0</v>
      </c>
      <c r="Y44" s="598"/>
      <c r="Z44" s="598">
        <f>SUM(X44:Y44)</f>
        <v>0</v>
      </c>
      <c r="AA44" s="599">
        <f>X44*(1/((1+$V$28)^(R44-0.5)))</f>
        <v>0</v>
      </c>
    </row>
    <row r="45" s="58" customFormat="1" ht="18" customHeight="1" hidden="1">
      <c r="P45" s="536"/>
      <c r="R45" s="584">
        <f>R44+1</f>
        <v>7</v>
      </c>
      <c r="S45" s="598">
        <f>S44*(1+$V$23)</f>
        <v>0</v>
      </c>
      <c r="T45" s="598">
        <f>ROUND(-S45*$V$19,0)</f>
        <v>0</v>
      </c>
      <c r="U45" s="598">
        <f>IF(R45&gt;$V$27,0,ROUND(U44*(1+$V$24),0))</f>
        <v>0</v>
      </c>
      <c r="V45" s="598">
        <f>IF(R45&gt;$V$27,0,ROUND(V44*(1+$V$25),0))</f>
        <v>0</v>
      </c>
      <c r="W45" s="598">
        <f t="shared" si="340" ref="W45:W47">$W$135*0.019</f>
        <v>0</v>
      </c>
      <c r="X45" s="598">
        <f>SUM(S45:W45)</f>
        <v>0</v>
      </c>
      <c r="Y45" s="598"/>
      <c r="Z45" s="598">
        <f>SUM(X45:Y45)</f>
        <v>0</v>
      </c>
      <c r="AA45" s="599">
        <f>X45*(1/((1+$V$28)^(R45-0.5)))</f>
        <v>0</v>
      </c>
    </row>
    <row r="46" s="58" customFormat="1" ht="18" customHeight="1" hidden="1">
      <c r="P46" s="536"/>
      <c r="R46" s="584">
        <f>R45+1</f>
        <v>8</v>
      </c>
      <c r="S46" s="598">
        <f>S45*(1+$V$23)</f>
        <v>0</v>
      </c>
      <c r="T46" s="598">
        <f>ROUND(-S46*$V$19,0)</f>
        <v>0</v>
      </c>
      <c r="U46" s="598">
        <f>IF(R46&gt;$V$27,0,ROUND(U45*(1+$V$24),0))</f>
        <v>0</v>
      </c>
      <c r="V46" s="598">
        <f>IF(R46&gt;$V$27,0,ROUND(V45*(1+$V$25),0))</f>
        <v>0</v>
      </c>
      <c r="W46" s="598">
        <f t="shared" si="340"/>
        <v>0</v>
      </c>
      <c r="X46" s="598">
        <f>SUM(S46:W46)</f>
        <v>0</v>
      </c>
      <c r="Y46" s="598"/>
      <c r="Z46" s="598">
        <f>SUM(X46:Y46)</f>
        <v>0</v>
      </c>
      <c r="AA46" s="599">
        <f>X46*(1/((1+$V$28)^(R46-0.5)))</f>
        <v>0</v>
      </c>
    </row>
    <row r="47" s="58" customFormat="1" ht="18" customHeight="1" hidden="1">
      <c r="P47" s="536"/>
      <c r="R47" s="584">
        <f>R46+1</f>
        <v>9</v>
      </c>
      <c r="S47" s="598">
        <f>S46*(1+$V$23)</f>
        <v>0</v>
      </c>
      <c r="T47" s="598">
        <f>ROUND(-S47*$V$19,0)</f>
        <v>0</v>
      </c>
      <c r="U47" s="598">
        <f>IF(R47&gt;$V$27,0,ROUND(U46*(1+$V$24),0))</f>
        <v>0</v>
      </c>
      <c r="V47" s="598">
        <f>IF(R47&gt;$V$27,0,ROUND(V46*(1+$V$25),0))</f>
        <v>0</v>
      </c>
      <c r="W47" s="598">
        <f t="shared" si="340"/>
        <v>0</v>
      </c>
      <c r="X47" s="598">
        <f>SUM(S47:W47)</f>
        <v>0</v>
      </c>
      <c r="Y47" s="598"/>
      <c r="Z47" s="598">
        <f>SUM(X47:Y47)</f>
        <v>0</v>
      </c>
      <c r="AA47" s="599">
        <f>X47*(1/((1+$V$28)^(R47-0.5)))</f>
        <v>0</v>
      </c>
    </row>
    <row r="48" s="58" customFormat="1" ht="18" customHeight="1" hidden="1">
      <c r="P48" s="536"/>
      <c r="R48" s="584">
        <f>R47+1</f>
        <v>10</v>
      </c>
      <c r="S48" s="598">
        <f>S47*(1+$V$23)</f>
        <v>0</v>
      </c>
      <c r="T48" s="598">
        <f>ROUND(-S48*$V$19,0)</f>
        <v>0</v>
      </c>
      <c r="U48" s="598">
        <f>IF(R48&gt;$V$27,0,ROUND(U47*(1+$V$24),0))</f>
        <v>0</v>
      </c>
      <c r="V48" s="598">
        <f>IF(R48&gt;$V$27,0,ROUND(V47*(1+$V$25),0))</f>
        <v>0</v>
      </c>
      <c r="W48" s="598">
        <f t="shared" si="367" ref="W48:W50">$W$135*0.023</f>
        <v>0</v>
      </c>
      <c r="X48" s="598">
        <f>SUM(S48:W48)</f>
        <v>0</v>
      </c>
      <c r="Y48" s="598"/>
      <c r="Z48" s="598">
        <f>SUM(X48:Y48)</f>
        <v>0</v>
      </c>
      <c r="AA48" s="599">
        <f>X48*(1/((1+$V$28)^(R48-0.5)))</f>
        <v>0</v>
      </c>
    </row>
    <row r="49" s="58" customFormat="1" ht="18" customHeight="1" hidden="1">
      <c r="P49" s="536"/>
      <c r="R49" s="584">
        <f>R48+1</f>
        <v>11</v>
      </c>
      <c r="S49" s="598">
        <f>S48*(1+$V$23)</f>
        <v>0</v>
      </c>
      <c r="T49" s="598">
        <f>ROUND(-S49*$V$19,0)</f>
        <v>0</v>
      </c>
      <c r="U49" s="598">
        <f>IF(R49&gt;$V$27,0,ROUND(U48*(1+$V$24),0))</f>
        <v>0</v>
      </c>
      <c r="V49" s="598">
        <f>IF(R49&gt;$V$27,0,ROUND(V48*(1+$V$25),0))</f>
        <v>0</v>
      </c>
      <c r="W49" s="598">
        <f t="shared" si="367"/>
        <v>0</v>
      </c>
      <c r="X49" s="598">
        <f>SUM(S49:W49)</f>
        <v>0</v>
      </c>
      <c r="Y49" s="598"/>
      <c r="Z49" s="598">
        <f>SUM(X49:Y49)</f>
        <v>0</v>
      </c>
      <c r="AA49" s="599">
        <f>X49*(1/((1+$V$28)^(R49-0.5)))</f>
        <v>0</v>
      </c>
    </row>
    <row r="50" s="58" customFormat="1" ht="18" customHeight="1" hidden="1">
      <c r="P50" s="536"/>
      <c r="R50" s="584">
        <f>R49+1</f>
        <v>12</v>
      </c>
      <c r="S50" s="598">
        <f>S49*(1+$V$23)</f>
        <v>0</v>
      </c>
      <c r="T50" s="598">
        <f>ROUND(-S50*$V$19,0)</f>
        <v>0</v>
      </c>
      <c r="U50" s="598">
        <f>IF(R50&gt;$V$27,0,ROUND(U49*(1+$V$24),0))</f>
        <v>0</v>
      </c>
      <c r="V50" s="598">
        <f>IF(R50&gt;$V$27,0,ROUND(V49*(1+$V$25),0))</f>
        <v>0</v>
      </c>
      <c r="W50" s="598">
        <f t="shared" si="367"/>
        <v>0</v>
      </c>
      <c r="X50" s="598">
        <f>SUM(S50:W50)</f>
        <v>0</v>
      </c>
      <c r="Y50" s="598"/>
      <c r="Z50" s="598">
        <f>SUM(X50:Y50)</f>
        <v>0</v>
      </c>
      <c r="AA50" s="599">
        <f>X50*(1/((1+$V$28)^(R50-0.5)))</f>
        <v>0</v>
      </c>
    </row>
    <row r="51" s="58" customFormat="1" ht="18" customHeight="1" hidden="1">
      <c r="P51" s="536"/>
      <c r="R51" s="584">
        <f>R50+1</f>
        <v>13</v>
      </c>
      <c r="S51" s="598">
        <f>S50*(1+$V$23)</f>
        <v>0</v>
      </c>
      <c r="T51" s="598">
        <f>ROUND(-S51*$V$19,0)</f>
        <v>0</v>
      </c>
      <c r="U51" s="598">
        <f>IF(R51&gt;$V$27,0,ROUND(U50*(1+$V$24),0))</f>
        <v>0</v>
      </c>
      <c r="V51" s="598">
        <f>IF(R51&gt;$V$27,0,ROUND(V50*(1+$V$25),0))</f>
        <v>0</v>
      </c>
      <c r="W51" s="598">
        <f t="shared" si="394" ref="W51:W53">$W$135*0.028</f>
        <v>0</v>
      </c>
      <c r="X51" s="598">
        <f>SUM(S51:W51)</f>
        <v>0</v>
      </c>
      <c r="Y51" s="598"/>
      <c r="Z51" s="598">
        <f>SUM(X51:Y51)</f>
        <v>0</v>
      </c>
      <c r="AA51" s="599">
        <f>X51*(1/((1+$V$28)^(R51-0.5)))</f>
        <v>0</v>
      </c>
    </row>
    <row r="52" s="58" customFormat="1" ht="18" customHeight="1" hidden="1">
      <c r="P52" s="536"/>
      <c r="R52" s="584">
        <f>R51+1</f>
        <v>14</v>
      </c>
      <c r="S52" s="598">
        <f>S51*(1+$V$23)</f>
        <v>0</v>
      </c>
      <c r="T52" s="598">
        <f>ROUND(-S52*$V$19,0)</f>
        <v>0</v>
      </c>
      <c r="U52" s="598">
        <f>IF(R52&gt;$V$27,0,ROUND(U51*(1+$V$24),0))</f>
        <v>0</v>
      </c>
      <c r="V52" s="598">
        <f>IF(R52&gt;$V$27,0,ROUND(V51*(1+$V$25),0))</f>
        <v>0</v>
      </c>
      <c r="W52" s="598">
        <f t="shared" si="394"/>
        <v>0</v>
      </c>
      <c r="X52" s="598">
        <f>SUM(S52:W52)</f>
        <v>0</v>
      </c>
      <c r="Y52" s="598"/>
      <c r="Z52" s="598">
        <f>SUM(X52:Y52)</f>
        <v>0</v>
      </c>
      <c r="AA52" s="599">
        <f>X52*(1/((1+$V$28)^(R52-0.5)))</f>
        <v>0</v>
      </c>
    </row>
    <row r="53" s="58" customFormat="1" ht="18" customHeight="1" hidden="1">
      <c r="P53" s="536"/>
      <c r="R53" s="584">
        <f>R52+1</f>
        <v>15</v>
      </c>
      <c r="S53" s="598">
        <f>S52*(1+$V$23)</f>
        <v>0</v>
      </c>
      <c r="T53" s="598">
        <f>ROUND(-S53*$V$19,0)</f>
        <v>0</v>
      </c>
      <c r="U53" s="598">
        <f>IF(R53&gt;$V$27,0,ROUND(U52*(1+$V$24),0))</f>
        <v>0</v>
      </c>
      <c r="V53" s="598">
        <f>IF(R53&gt;$V$27,0,ROUND(V52*(1+$V$25),0))</f>
        <v>0</v>
      </c>
      <c r="W53" s="598">
        <f t="shared" si="394"/>
        <v>0</v>
      </c>
      <c r="X53" s="598">
        <f>SUM(S53:W53)</f>
        <v>0</v>
      </c>
      <c r="Y53" s="598"/>
      <c r="Z53" s="598">
        <f>SUM(X53:Y53)</f>
        <v>0</v>
      </c>
      <c r="AA53" s="599">
        <f>X53*(1/((1+$V$28)^(R53-0.5)))</f>
        <v>0</v>
      </c>
    </row>
    <row r="54" s="58" customFormat="1" ht="18" customHeight="1" hidden="1">
      <c r="P54" s="536"/>
      <c r="R54" s="584">
        <f>R53+1</f>
        <v>16</v>
      </c>
      <c r="S54" s="598">
        <f>S53*(1+$V$23)</f>
        <v>0</v>
      </c>
      <c r="T54" s="598">
        <f>ROUND(-S54*$V$19,0)</f>
        <v>0</v>
      </c>
      <c r="U54" s="598">
        <f>IF(R54&gt;$V$27,0,ROUND(U53*(1+$V$24),0))</f>
        <v>0</v>
      </c>
      <c r="V54" s="598">
        <f>IF(R54&gt;$V$27,0,ROUND(V53*(1+$V$25),0))</f>
        <v>0</v>
      </c>
      <c r="W54" s="598">
        <f t="shared" si="421" ref="W54:W56">$W$135*0.033</f>
        <v>0</v>
      </c>
      <c r="X54" s="598">
        <f>SUM(S54:W54)</f>
        <v>0</v>
      </c>
      <c r="Y54" s="598"/>
      <c r="Z54" s="598">
        <f>SUM(X54:Y54)</f>
        <v>0</v>
      </c>
      <c r="AA54" s="599">
        <f>X54*(1/((1+$V$28)^(R54-0.5)))</f>
        <v>0</v>
      </c>
    </row>
    <row r="55" s="58" customFormat="1" ht="18" customHeight="1" hidden="1">
      <c r="P55" s="536"/>
      <c r="R55" s="584">
        <f>R54+1</f>
        <v>17</v>
      </c>
      <c r="S55" s="598">
        <f>S54*(1+$V$23)</f>
        <v>0</v>
      </c>
      <c r="T55" s="598">
        <f>ROUND(-S55*$V$19,0)</f>
        <v>0</v>
      </c>
      <c r="U55" s="598">
        <f>IF(R55&gt;$V$27,0,ROUND(U54*(1+$V$24),0))</f>
        <v>0</v>
      </c>
      <c r="V55" s="598">
        <f>IF(R55&gt;$V$27,0,ROUND(V54*(1+$V$25),0))</f>
        <v>0</v>
      </c>
      <c r="W55" s="598">
        <f t="shared" si="421"/>
        <v>0</v>
      </c>
      <c r="X55" s="598">
        <f>SUM(S55:W55)</f>
        <v>0</v>
      </c>
      <c r="Y55" s="598"/>
      <c r="Z55" s="598">
        <f>SUM(X55:Y55)</f>
        <v>0</v>
      </c>
      <c r="AA55" s="599">
        <f>X55*(1/((1+$V$28)^(R55-0.5)))</f>
        <v>0</v>
      </c>
    </row>
    <row r="56" s="58" customFormat="1" ht="18.75" customHeight="1" hidden="1">
      <c r="P56" s="602"/>
      <c r="R56" s="584">
        <f>R55+1</f>
        <v>18</v>
      </c>
      <c r="S56" s="598">
        <f>S55*(1+$V$23)</f>
        <v>0</v>
      </c>
      <c r="T56" s="598">
        <f>ROUND(-S56*$V$19,0)</f>
        <v>0</v>
      </c>
      <c r="U56" s="598">
        <f>IF(R56&gt;$V$27,0,ROUND(U55*(1+$V$24),0))</f>
        <v>0</v>
      </c>
      <c r="V56" s="598">
        <f>IF(R56&gt;$V$27,0,ROUND(V55*(1+$V$25),0))</f>
        <v>0</v>
      </c>
      <c r="W56" s="598">
        <f t="shared" si="421"/>
        <v>0</v>
      </c>
      <c r="X56" s="598">
        <f>SUM(S56:W56)</f>
        <v>0</v>
      </c>
      <c r="Y56" s="598"/>
      <c r="Z56" s="598">
        <f>SUM(X56:Y56)</f>
        <v>0</v>
      </c>
      <c r="AA56" s="599">
        <f>X56*(1/((1+$V$28)^(R56-0.5)))</f>
        <v>0</v>
      </c>
    </row>
    <row r="57" s="58" customFormat="1" ht="18" customHeight="1" hidden="1">
      <c r="R57" s="584">
        <f>R56+1</f>
        <v>19</v>
      </c>
      <c r="S57" s="598">
        <f>S56*(1+$V$23)</f>
        <v>0</v>
      </c>
      <c r="T57" s="598">
        <f>ROUND(-S57*$V$19,0)</f>
        <v>0</v>
      </c>
      <c r="U57" s="598">
        <f>IF(R57&gt;$V$27,0,ROUND(U56*(1+$V$24),0))</f>
        <v>0</v>
      </c>
      <c r="V57" s="598">
        <f>IF(R57&gt;$V$27,0,ROUND(V56*(1+$V$25),0))</f>
        <v>0</v>
      </c>
      <c r="W57" s="598">
        <f t="shared" si="448" ref="W57:W59">$W$135*0.04</f>
        <v>0</v>
      </c>
      <c r="X57" s="598">
        <f>SUM(S57:W57)</f>
        <v>0</v>
      </c>
      <c r="Y57" s="598"/>
      <c r="Z57" s="598">
        <f>SUM(X57:Y57)</f>
        <v>0</v>
      </c>
      <c r="AA57" s="599">
        <f>X57*(1/((1+$V$28)^(R57-0.5)))</f>
        <v>0</v>
      </c>
    </row>
    <row r="58" s="58" customFormat="1" ht="18" customHeight="1" hidden="1">
      <c r="R58" s="584">
        <f>R57+1</f>
        <v>20</v>
      </c>
      <c r="S58" s="598">
        <f>S57*(1+$V$23)</f>
        <v>0</v>
      </c>
      <c r="T58" s="598">
        <f>ROUND(-S58*$V$19,0)</f>
        <v>0</v>
      </c>
      <c r="U58" s="598">
        <f>IF(R58&gt;$V$27,0,ROUND(U57*(1+$V$24),0))</f>
        <v>0</v>
      </c>
      <c r="V58" s="598">
        <f>IF(R58&gt;$V$27,0,ROUND(V57*(1+$V$25),0))</f>
        <v>0</v>
      </c>
      <c r="W58" s="598">
        <f t="shared" si="448"/>
        <v>0</v>
      </c>
      <c r="X58" s="598">
        <f>SUM(S58:W58)</f>
        <v>0</v>
      </c>
      <c r="Y58" s="598"/>
      <c r="Z58" s="598">
        <f>SUM(X58:Y58)</f>
        <v>0</v>
      </c>
      <c r="AA58" s="599">
        <f>X58*(1/((1+$V$28)^(R58-0.5)))</f>
        <v>0</v>
      </c>
    </row>
    <row r="59" s="58" customFormat="1" ht="18" customHeight="1" hidden="1">
      <c r="R59" s="584">
        <f>R58+1</f>
        <v>21</v>
      </c>
      <c r="S59" s="598">
        <f>S58*(1+$V$23)</f>
        <v>0</v>
      </c>
      <c r="T59" s="598">
        <f>ROUND(-S59*$V$19,0)</f>
        <v>0</v>
      </c>
      <c r="U59" s="598">
        <f>IF(R59&gt;$V$27,0,ROUND(U58*(1+$V$24),0))</f>
        <v>0</v>
      </c>
      <c r="V59" s="598">
        <f>IF(R59&gt;$V$27,0,ROUND(V58*(1+$V$25),0))</f>
        <v>0</v>
      </c>
      <c r="W59" s="598">
        <f t="shared" si="448"/>
        <v>0</v>
      </c>
      <c r="X59" s="598">
        <f>SUM(S59:W59)</f>
        <v>0</v>
      </c>
      <c r="Y59" s="598"/>
      <c r="Z59" s="598">
        <f>SUM(X59:Y59)</f>
        <v>0</v>
      </c>
      <c r="AA59" s="599">
        <f>X59*(1/((1+$V$28)^(R59-0.5)))</f>
        <v>0</v>
      </c>
    </row>
    <row r="60" s="58" customFormat="1" ht="18" customHeight="1" hidden="1">
      <c r="R60" s="584">
        <f>R59+1</f>
        <v>22</v>
      </c>
      <c r="S60" s="598">
        <f>S59*(1+$V$23)</f>
        <v>0</v>
      </c>
      <c r="T60" s="598">
        <f>ROUND(-S60*$V$19,0)</f>
        <v>0</v>
      </c>
      <c r="U60" s="598">
        <f>IF(R60&gt;$V$27,0,ROUND(U59*(1+$V$24),0))</f>
        <v>0</v>
      </c>
      <c r="V60" s="598">
        <f>IF(R60&gt;$V$27,0,ROUND(V59*(1+$V$25),0))</f>
        <v>0</v>
      </c>
      <c r="W60" s="598">
        <f t="shared" si="475" ref="W60:W62">$W$135*0.048</f>
        <v>0</v>
      </c>
      <c r="X60" s="598">
        <f>SUM(S60:W60)</f>
        <v>0</v>
      </c>
      <c r="Y60" s="598"/>
      <c r="Z60" s="598">
        <f>SUM(X60:Y60)</f>
        <v>0</v>
      </c>
      <c r="AA60" s="599">
        <f>X60*(1/((1+$V$28)^(R60-0.5)))</f>
        <v>0</v>
      </c>
    </row>
    <row r="61" s="58" customFormat="1" ht="18" customHeight="1" hidden="1">
      <c r="R61" s="584">
        <f>R60+1</f>
        <v>23</v>
      </c>
      <c r="S61" s="598">
        <f>S60*(1+$V$23)</f>
        <v>0</v>
      </c>
      <c r="T61" s="598">
        <f>ROUND(-S61*$V$19,0)</f>
        <v>0</v>
      </c>
      <c r="U61" s="598">
        <f>IF(R61&gt;$V$27,0,ROUND(U60*(1+$V$24),0))</f>
        <v>0</v>
      </c>
      <c r="V61" s="598">
        <f>IF(R61&gt;$V$27,0,ROUND(V60*(1+$V$25),0))</f>
        <v>0</v>
      </c>
      <c r="W61" s="598">
        <f t="shared" si="475"/>
        <v>0</v>
      </c>
      <c r="X61" s="598">
        <f>SUM(S61:W61)</f>
        <v>0</v>
      </c>
      <c r="Y61" s="598"/>
      <c r="Z61" s="598">
        <f>SUM(X61:Y61)</f>
        <v>0</v>
      </c>
      <c r="AA61" s="599">
        <f>X61*(1/((1+$V$28)^(R61-0.5)))</f>
        <v>0</v>
      </c>
    </row>
    <row r="62" s="58" customFormat="1" ht="18" customHeight="1" hidden="1">
      <c r="R62" s="584">
        <f>R61+1</f>
        <v>24</v>
      </c>
      <c r="S62" s="598">
        <f>S61*(1+$V$23)</f>
        <v>0</v>
      </c>
      <c r="T62" s="598">
        <f>ROUND(-S62*$V$19,0)</f>
        <v>0</v>
      </c>
      <c r="U62" s="598">
        <f>IF(R62&gt;$V$27,0,ROUND(U61*(1+$V$24),0))</f>
        <v>0</v>
      </c>
      <c r="V62" s="598">
        <f>IF(R62&gt;$V$27,0,ROUND(V61*(1+$V$25),0))</f>
        <v>0</v>
      </c>
      <c r="W62" s="598">
        <f t="shared" si="475"/>
        <v>0</v>
      </c>
      <c r="X62" s="598">
        <f>SUM(S62:W62)</f>
        <v>0</v>
      </c>
      <c r="Y62" s="598"/>
      <c r="Z62" s="598">
        <f>SUM(X62:Y62)</f>
        <v>0</v>
      </c>
      <c r="AA62" s="599">
        <f>X62*(1/((1+$V$28)^(R62-0.5)))</f>
        <v>0</v>
      </c>
    </row>
    <row r="63" s="58" customFormat="1" ht="18" customHeight="1" hidden="1">
      <c r="R63" s="584">
        <f>R62+1</f>
        <v>25</v>
      </c>
      <c r="S63" s="598">
        <f>S62*(1+$V$23)</f>
        <v>0</v>
      </c>
      <c r="T63" s="598">
        <f>ROUND(-S63*$V$19,0)</f>
        <v>0</v>
      </c>
      <c r="U63" s="598">
        <f>IF(R63&gt;$V$27,0,ROUND(U62*(1+$V$24),0))</f>
        <v>0</v>
      </c>
      <c r="V63" s="598">
        <f>IF(R63&gt;$V$27,0,ROUND(V62*(1+$V$25),0))</f>
        <v>0</v>
      </c>
      <c r="W63" s="598">
        <f t="shared" si="502" ref="W63:W65">$W$135*0.057</f>
        <v>0</v>
      </c>
      <c r="X63" s="598">
        <f>SUM(S63:W63)</f>
        <v>0</v>
      </c>
      <c r="Y63" s="598"/>
      <c r="Z63" s="598">
        <f>SUM(X63:Y63)</f>
        <v>0</v>
      </c>
      <c r="AA63" s="599">
        <f>X63*(1/((1+$V$28)^(R63-0.5)))</f>
        <v>0</v>
      </c>
    </row>
    <row r="64" s="58" customFormat="1" ht="18" customHeight="1" hidden="1">
      <c r="R64" s="584">
        <f>R63+1</f>
        <v>26</v>
      </c>
      <c r="S64" s="598">
        <f>S63*(1+$V$23)</f>
        <v>0</v>
      </c>
      <c r="T64" s="598">
        <f>ROUND(-S64*$V$19,0)</f>
        <v>0</v>
      </c>
      <c r="U64" s="598">
        <f>IF(R64&gt;$V$27,0,ROUND(U63*(1+$V$24),0))</f>
        <v>0</v>
      </c>
      <c r="V64" s="598">
        <f>IF(R64&gt;$V$27,0,ROUND(V63*(1+$V$25),0))</f>
        <v>0</v>
      </c>
      <c r="W64" s="598">
        <f t="shared" si="502"/>
        <v>0</v>
      </c>
      <c r="X64" s="598">
        <f>SUM(S64:W64)</f>
        <v>0</v>
      </c>
      <c r="Y64" s="598"/>
      <c r="Z64" s="598">
        <f>SUM(X64:Y64)</f>
        <v>0</v>
      </c>
      <c r="AA64" s="599">
        <f>X64*(1/((1+$V$28)^(R64-0.5)))</f>
        <v>0</v>
      </c>
    </row>
    <row r="65" s="58" customFormat="1" ht="18" customHeight="1" hidden="1">
      <c r="R65" s="584">
        <f>R64+1</f>
        <v>27</v>
      </c>
      <c r="S65" s="598">
        <f>S64*(1+$V$23)</f>
        <v>0</v>
      </c>
      <c r="T65" s="598">
        <f>ROUND(-S65*$V$19,0)</f>
        <v>0</v>
      </c>
      <c r="U65" s="598">
        <f>IF(R65&gt;$V$27,0,ROUND(U64*(1+$V$24),0))</f>
        <v>0</v>
      </c>
      <c r="V65" s="598">
        <f>IF(R65&gt;$V$27,0,ROUND(V64*(1+$V$25),0))</f>
        <v>0</v>
      </c>
      <c r="W65" s="598">
        <f t="shared" si="502"/>
        <v>0</v>
      </c>
      <c r="X65" s="598">
        <f>SUM(S65:W65)</f>
        <v>0</v>
      </c>
      <c r="Y65" s="598"/>
      <c r="Z65" s="598">
        <f>SUM(X65:Y65)</f>
        <v>0</v>
      </c>
      <c r="AA65" s="599">
        <f>X65*(1/((1+$V$28)^(R65-0.5)))</f>
        <v>0</v>
      </c>
    </row>
    <row r="66" s="58" customFormat="1" ht="18" customHeight="1" hidden="1">
      <c r="R66" s="584">
        <f>R65+1</f>
        <v>28</v>
      </c>
      <c r="S66" s="598">
        <f>S65*(1+$V$23)</f>
        <v>0</v>
      </c>
      <c r="T66" s="598">
        <f>ROUND(-S66*$V$19,0)</f>
        <v>0</v>
      </c>
      <c r="U66" s="598">
        <f>IF(R66&gt;$V$27,0,ROUND(U65*(1+$V$24),0))</f>
        <v>0</v>
      </c>
      <c r="V66" s="598">
        <f>IF(R66&gt;$V$27,0,ROUND(V65*(1+$V$25),0))</f>
        <v>0</v>
      </c>
      <c r="W66" s="598">
        <f t="shared" si="529" ref="W66:W67">$W$135*0.069</f>
        <v>0</v>
      </c>
      <c r="X66" s="598">
        <f>SUM(S66:W66)</f>
        <v>0</v>
      </c>
      <c r="Y66" s="598"/>
      <c r="Z66" s="598">
        <f>SUM(X66:Y66)</f>
        <v>0</v>
      </c>
      <c r="AA66" s="599">
        <f>X66*(1/((1+$V$28)^(R66-0.5)))</f>
        <v>0</v>
      </c>
    </row>
    <row r="67" s="58" customFormat="1" ht="18" customHeight="1" hidden="1">
      <c r="R67" s="584">
        <f>R66+1</f>
        <v>29</v>
      </c>
      <c r="S67" s="598">
        <f>S66*(1+$V$23)</f>
        <v>0</v>
      </c>
      <c r="T67" s="598">
        <f>ROUND(-S67*$V$19,0)</f>
        <v>0</v>
      </c>
      <c r="U67" s="598">
        <f>IF(R67&gt;$V$27,0,ROUND(U66*(1+$V$24),0))</f>
        <v>0</v>
      </c>
      <c r="V67" s="598">
        <f>IF(R67&gt;$V$27,0,ROUND(V66*(1+$V$25),0))</f>
        <v>0</v>
      </c>
      <c r="W67" s="598">
        <f t="shared" si="529"/>
        <v>0</v>
      </c>
      <c r="X67" s="598">
        <f>SUM(S67:W67)</f>
        <v>0</v>
      </c>
      <c r="Y67" s="598"/>
      <c r="Z67" s="598">
        <f>SUM(X67:Y67)</f>
        <v>0</v>
      </c>
      <c r="AA67" s="599">
        <f>X67*(1/((1+$V$28)^(R67-0.5)))</f>
        <v>0</v>
      </c>
    </row>
    <row r="68" s="58" customFormat="1" ht="18" customHeight="1" hidden="1">
      <c r="R68" s="584">
        <f>R67+1</f>
        <v>30</v>
      </c>
      <c r="S68" s="598">
        <f>S67*(1+$V$23)</f>
        <v>0</v>
      </c>
      <c r="T68" s="598">
        <f>ROUND(-S68*$V$19,0)</f>
        <v>0</v>
      </c>
      <c r="U68" s="598">
        <f>IF(R68&gt;$V$27,0,ROUND(U67*(1+$V$24),0))</f>
        <v>0</v>
      </c>
      <c r="V68" s="598">
        <f>IF(R68&gt;$V$27,0,ROUND(V67*(1+$V$25),0))</f>
        <v>0</v>
      </c>
      <c r="W68" s="598">
        <f>$W$135*0.07</f>
        <v>0</v>
      </c>
      <c r="X68" s="598">
        <f>SUM(S68:W68)</f>
        <v>0</v>
      </c>
      <c r="Y68" s="598"/>
      <c r="Z68" s="598">
        <f>SUM(X68:Y68)</f>
        <v>0</v>
      </c>
      <c r="AA68" s="599">
        <f>Z68*(1/((1+$V$28)^(R68-0.5)))</f>
        <v>0</v>
      </c>
    </row>
    <row r="69" s="58" customFormat="1" ht="18" customHeight="1" hidden="1">
      <c r="R69" s="584">
        <v>31</v>
      </c>
      <c r="S69" s="598">
        <f>S68*(1+$V$23)</f>
        <v>0</v>
      </c>
      <c r="T69" s="598">
        <f>ROUND(-S69*$V$19,0)</f>
        <v>0</v>
      </c>
      <c r="U69" s="598">
        <f>IF(R69&gt;$V$27,0,ROUND(U68*(1+$V$24),0))</f>
        <v>0</v>
      </c>
      <c r="V69" s="598">
        <f>IF(R69&gt;$V$27,0,ROUND(V68*(1+$V$25),0))</f>
        <v>0</v>
      </c>
      <c r="W69" s="598">
        <f>-3896*V17</f>
        <v>0</v>
      </c>
      <c r="X69" s="598">
        <f>SUM(S69:W69)</f>
        <v>0</v>
      </c>
      <c r="Y69" s="598"/>
      <c r="Z69" s="598">
        <f>SUM(X69:Y69)*0.5*0.9</f>
        <v>0</v>
      </c>
      <c r="AA69" s="599">
        <f>Z69*(1/((1+$V$28)^(R69-0.5)))</f>
        <v>0</v>
      </c>
    </row>
    <row r="70" s="58" customFormat="1" ht="18" customHeight="1" hidden="1">
      <c r="R70" s="584">
        <v>32</v>
      </c>
      <c r="S70" s="598">
        <f>S69*(1+$V$23)</f>
        <v>0</v>
      </c>
      <c r="T70" s="598">
        <f>ROUND(-S70*$V$19,0)</f>
        <v>0</v>
      </c>
      <c r="U70" s="598">
        <f>IF(R70&gt;$V$27,0,ROUND(U69*(1+$V$24),0))</f>
        <v>0</v>
      </c>
      <c r="V70" s="598">
        <f>IF(R70&gt;$V$27,0,ROUND(V69*(1+$V$25),0))</f>
        <v>0</v>
      </c>
      <c r="W70" s="598">
        <f>W69*1.03</f>
        <v>0</v>
      </c>
      <c r="X70" s="598">
        <f>SUM(S70:W70)</f>
        <v>0</v>
      </c>
      <c r="Y70" s="598"/>
      <c r="Z70" s="598">
        <f>SUM(X70:Y70)*0.5*0.9</f>
        <v>0</v>
      </c>
      <c r="AA70" s="599">
        <f>Z70*(1/((1+$V$28)^(R70-0.5)))</f>
        <v>0</v>
      </c>
    </row>
    <row r="71" s="58" customFormat="1" ht="18" customHeight="1" hidden="1">
      <c r="R71" s="584">
        <v>33</v>
      </c>
      <c r="S71" s="598">
        <f>S70*(1+$V$23)</f>
        <v>0</v>
      </c>
      <c r="T71" s="598">
        <f>ROUND(-S71*$V$19,0)</f>
        <v>0</v>
      </c>
      <c r="U71" s="598">
        <f>IF(R71&gt;$V$27,0,ROUND(U70*(1+$V$24),0))</f>
        <v>0</v>
      </c>
      <c r="V71" s="598">
        <f>IF(R71&gt;$V$27,0,ROUND(V70*(1+$V$25),0))</f>
        <v>0</v>
      </c>
      <c r="W71" s="598">
        <f>W70*1.03</f>
        <v>0</v>
      </c>
      <c r="X71" s="598">
        <f>SUM(S71:W71)</f>
        <v>0</v>
      </c>
      <c r="Y71" s="598"/>
      <c r="Z71" s="598">
        <f>SUM(X71:Y71)*0.5*0.9</f>
        <v>0</v>
      </c>
      <c r="AA71" s="599">
        <f>Z71*(1/((1+$V$28)^(R71-0.5)))</f>
        <v>0</v>
      </c>
    </row>
    <row r="72" s="58" customFormat="1" ht="18" customHeight="1" hidden="1">
      <c r="R72" s="584">
        <v>34</v>
      </c>
      <c r="S72" s="598">
        <f>S71*(1+$V$23)</f>
        <v>0</v>
      </c>
      <c r="T72" s="598">
        <f>ROUND(-S72*$V$19,0)</f>
        <v>0</v>
      </c>
      <c r="U72" s="598">
        <f>IF(R72&gt;$V$27,0,ROUND(U71*(1+$V$24),0))</f>
        <v>0</v>
      </c>
      <c r="V72" s="598">
        <f>IF(R72&gt;$V$27,0,ROUND(V71*(1+$V$25),0))</f>
        <v>0</v>
      </c>
      <c r="W72" s="598">
        <f>W71*1.03</f>
        <v>0</v>
      </c>
      <c r="X72" s="598">
        <f>SUM(S72:W72)</f>
        <v>0</v>
      </c>
      <c r="Y72" s="598"/>
      <c r="Z72" s="598">
        <f>SUM(X72:Y72)*0.5*0.9</f>
        <v>0</v>
      </c>
      <c r="AA72" s="599">
        <f>Z72*(1/((1+$V$28)^(R72-0.5)))</f>
        <v>0</v>
      </c>
    </row>
    <row r="73" s="58" customFormat="1" ht="18" customHeight="1" hidden="1">
      <c r="R73" s="584">
        <v>35</v>
      </c>
      <c r="S73" s="598">
        <f>S72*(1+$V$23)</f>
        <v>0</v>
      </c>
      <c r="T73" s="598">
        <f>ROUND(-S73*$V$19,0)</f>
        <v>0</v>
      </c>
      <c r="U73" s="598">
        <f>IF(R73&gt;$V$27,0,ROUND(U72*(1+$V$24),0))</f>
        <v>0</v>
      </c>
      <c r="V73" s="598">
        <f>IF(R73&gt;$V$27,0,ROUND(V72*(1+$V$25),0))</f>
        <v>0</v>
      </c>
      <c r="W73" s="598">
        <f>W72*1.03</f>
        <v>0</v>
      </c>
      <c r="X73" s="598">
        <f>SUM(S73:W73)</f>
        <v>0</v>
      </c>
      <c r="Y73" s="598"/>
      <c r="Z73" s="598">
        <f>SUM(X73:Y73)*0.5*0.9</f>
        <v>0</v>
      </c>
      <c r="AA73" s="599">
        <f>Z73*(1/((1+$V$28)^(R73-0.5)))</f>
        <v>0</v>
      </c>
    </row>
    <row r="74" s="58" customFormat="1" ht="18" customHeight="1" hidden="1">
      <c r="R74" s="584">
        <v>36</v>
      </c>
      <c r="S74" s="598">
        <f>S73*(1+$V$23)</f>
        <v>0</v>
      </c>
      <c r="T74" s="598">
        <f>ROUND(-S74*$V$19,0)</f>
        <v>0</v>
      </c>
      <c r="U74" s="598">
        <f>IF(R74&gt;$V$27,0,ROUND(U73*(1+$V$24),0))</f>
        <v>0</v>
      </c>
      <c r="V74" s="598">
        <f>IF(R74&gt;$V$27,0,ROUND(V73*(1+$V$25),0))</f>
        <v>0</v>
      </c>
      <c r="W74" s="598">
        <f>W73*1.03</f>
        <v>0</v>
      </c>
      <c r="X74" s="598">
        <f>SUM(S74:W74)</f>
        <v>0</v>
      </c>
      <c r="Y74" s="598"/>
      <c r="Z74" s="598">
        <f>SUM(X74:Y74)*0.5*0.9</f>
        <v>0</v>
      </c>
      <c r="AA74" s="599">
        <f>Z74*(1/((1+$V$28)^(R74-0.5)))</f>
        <v>0</v>
      </c>
    </row>
    <row r="75" s="58" customFormat="1" ht="18" customHeight="1" hidden="1">
      <c r="R75" s="584">
        <v>37</v>
      </c>
      <c r="S75" s="598">
        <f>S74*(1+$V$23)</f>
        <v>0</v>
      </c>
      <c r="T75" s="598">
        <f>ROUND(-S75*$V$19,0)</f>
        <v>0</v>
      </c>
      <c r="U75" s="598">
        <f>IF(R75&gt;$V$27,0,ROUND(U74*(1+$V$24),0))</f>
        <v>0</v>
      </c>
      <c r="V75" s="598">
        <f>IF(R75&gt;$V$27,0,ROUND(V74*(1+$V$25),0))</f>
        <v>0</v>
      </c>
      <c r="W75" s="598">
        <f>W74*1.03</f>
        <v>0</v>
      </c>
      <c r="X75" s="598">
        <f>SUM(S75:W75)</f>
        <v>0</v>
      </c>
      <c r="Y75" s="598"/>
      <c r="Z75" s="598">
        <f>SUM(X75:Y75)*0.5*0.9</f>
        <v>0</v>
      </c>
      <c r="AA75" s="599">
        <f>Z75*(1/((1+$V$28)^(R75-0.5)))</f>
        <v>0</v>
      </c>
    </row>
    <row r="76" s="58" customFormat="1" ht="18" customHeight="1" hidden="1">
      <c r="R76" s="584">
        <v>38</v>
      </c>
      <c r="S76" s="598">
        <f>S75*(1+$V$23)</f>
        <v>0</v>
      </c>
      <c r="T76" s="598">
        <f>ROUND(-S76*$V$19,0)</f>
        <v>0</v>
      </c>
      <c r="U76" s="598">
        <f>IF(R76&gt;$V$27,0,ROUND(U75*(1+$V$24),0))</f>
        <v>0</v>
      </c>
      <c r="V76" s="598">
        <f>IF(R76&gt;$V$27,0,ROUND(V75*(1+$V$25),0))</f>
        <v>0</v>
      </c>
      <c r="W76" s="598">
        <f>W75*1.03</f>
        <v>0</v>
      </c>
      <c r="X76" s="598">
        <f>SUM(S76:W76)</f>
        <v>0</v>
      </c>
      <c r="Y76" s="598"/>
      <c r="Z76" s="598">
        <f>SUM(X76:Y76)*0.5*0.9</f>
        <v>0</v>
      </c>
      <c r="AA76" s="599">
        <f>Z76*(1/((1+$V$28)^(R76-0.5)))</f>
        <v>0</v>
      </c>
    </row>
    <row r="77" s="58" customFormat="1" ht="18" customHeight="1" hidden="1">
      <c r="R77" s="584">
        <v>39</v>
      </c>
      <c r="S77" s="598">
        <f>S76*(1+$V$23)</f>
        <v>0</v>
      </c>
      <c r="T77" s="598">
        <f>ROUND(-S77*$V$19,0)</f>
        <v>0</v>
      </c>
      <c r="U77" s="598">
        <f>IF(R77&gt;$V$27,0,ROUND(U76*(1+$V$24),0))</f>
        <v>0</v>
      </c>
      <c r="V77" s="598">
        <f>IF(R77&gt;$V$27,0,ROUND(V76*(1+$V$25),0))</f>
        <v>0</v>
      </c>
      <c r="W77" s="598">
        <f>W76*1.03</f>
        <v>0</v>
      </c>
      <c r="X77" s="598">
        <f>SUM(S77:W77)</f>
        <v>0</v>
      </c>
      <c r="Y77" s="598"/>
      <c r="Z77" s="598">
        <f>SUM(X77:Y77)*0.5*0.9</f>
        <v>0</v>
      </c>
      <c r="AA77" s="599">
        <f>Z77*(1/((1+$V$28)^(R77-0.5)))</f>
        <v>0</v>
      </c>
    </row>
    <row r="78" s="58" customFormat="1" ht="18" customHeight="1" hidden="1">
      <c r="R78" s="584">
        <v>40</v>
      </c>
      <c r="S78" s="598">
        <f>S77*(1+$V$23)</f>
        <v>0</v>
      </c>
      <c r="T78" s="598">
        <f>ROUND(-S78*$V$19,0)</f>
        <v>0</v>
      </c>
      <c r="U78" s="598">
        <f>IF(R78&gt;$V$27,0,ROUND(U77*(1+$V$24),0))</f>
        <v>0</v>
      </c>
      <c r="V78" s="598">
        <f>IF(R78&gt;$V$27,0,ROUND(V77*(1+$V$25),0))</f>
        <v>0</v>
      </c>
      <c r="W78" s="598">
        <f>W77*1.03</f>
        <v>0</v>
      </c>
      <c r="X78" s="598">
        <f>SUM(S78:W78)</f>
        <v>0</v>
      </c>
      <c r="Y78" s="598"/>
      <c r="Z78" s="598">
        <f>SUM(X78:Y78)*0.5*0.9</f>
        <v>0</v>
      </c>
      <c r="AA78" s="599">
        <f>Z78*(1/((1+$V$28)^(R78-0.5)))</f>
        <v>0</v>
      </c>
    </row>
    <row r="79" s="58" customFormat="1" ht="18" customHeight="1" hidden="1">
      <c r="R79" s="584">
        <v>41</v>
      </c>
      <c r="S79" s="598">
        <f>S78*(1+$V$23)</f>
        <v>0</v>
      </c>
      <c r="T79" s="598">
        <f>ROUND(-S79*$V$19,0)</f>
        <v>0</v>
      </c>
      <c r="U79" s="598">
        <f>IF(R79&gt;$V$27,0,ROUND(U78*(1+$V$24),0))</f>
        <v>0</v>
      </c>
      <c r="V79" s="598">
        <f>IF(R79&gt;$V$27,0,ROUND(V78*(1+$V$25),0))</f>
        <v>0</v>
      </c>
      <c r="W79" s="598">
        <f>W78*1.03</f>
        <v>0</v>
      </c>
      <c r="X79" s="598">
        <f>SUM(S79:W79)</f>
        <v>0</v>
      </c>
      <c r="Y79" s="598"/>
      <c r="Z79" s="598">
        <f>SUM(X79:Y79)*0.5*0.9</f>
        <v>0</v>
      </c>
      <c r="AA79" s="599">
        <f>Z79*(1/((1+$V$28)^(R79-0.5)))</f>
        <v>0</v>
      </c>
    </row>
    <row r="80" s="58" customFormat="1" ht="18" customHeight="1" hidden="1">
      <c r="R80" s="584">
        <v>42</v>
      </c>
      <c r="S80" s="598">
        <f>S79*(1+$V$23)</f>
        <v>0</v>
      </c>
      <c r="T80" s="598">
        <f>ROUND(-S80*$V$19,0)</f>
        <v>0</v>
      </c>
      <c r="U80" s="598">
        <f>IF(R80&gt;$V$27,0,ROUND(U79*(1+$V$24),0))</f>
        <v>0</v>
      </c>
      <c r="V80" s="598">
        <f>IF(R80&gt;$V$27,0,ROUND(V79*(1+$V$25),0))</f>
        <v>0</v>
      </c>
      <c r="W80" s="598">
        <f>W79*1.03</f>
        <v>0</v>
      </c>
      <c r="X80" s="598">
        <f>SUM(S80:W80)</f>
        <v>0</v>
      </c>
      <c r="Y80" s="598"/>
      <c r="Z80" s="598">
        <f>SUM(X80:Y80)*0.5*0.9</f>
        <v>0</v>
      </c>
      <c r="AA80" s="599">
        <f>Z80*(1/((1+$V$28)^(R80-0.5)))</f>
        <v>0</v>
      </c>
    </row>
    <row r="81" s="58" customFormat="1" ht="18" customHeight="1" hidden="1">
      <c r="R81" s="584">
        <v>43</v>
      </c>
      <c r="S81" s="598">
        <f>S80*(1+$V$23)</f>
        <v>0</v>
      </c>
      <c r="T81" s="598">
        <f>ROUND(-S81*$V$19,0)</f>
        <v>0</v>
      </c>
      <c r="U81" s="598">
        <f>IF(R81&gt;$V$27,0,ROUND(U80*(1+$V$24),0))</f>
        <v>0</v>
      </c>
      <c r="V81" s="598">
        <f>IF(R81&gt;$V$27,0,ROUND(V80*(1+$V$25),0))</f>
        <v>0</v>
      </c>
      <c r="W81" s="598">
        <f>W80*1.03</f>
        <v>0</v>
      </c>
      <c r="X81" s="598">
        <f>SUM(S81:W81)</f>
        <v>0</v>
      </c>
      <c r="Y81" s="598"/>
      <c r="Z81" s="598">
        <f>SUM(X81:Y81)*0.5*0.9</f>
        <v>0</v>
      </c>
      <c r="AA81" s="599">
        <f>Z81*(1/((1+$V$28)^(R81-0.5)))</f>
        <v>0</v>
      </c>
    </row>
    <row r="82" s="58" customFormat="1" ht="18" customHeight="1" hidden="1">
      <c r="R82" s="584">
        <v>44</v>
      </c>
      <c r="S82" s="598">
        <f>S81*(1+$V$23)</f>
        <v>0</v>
      </c>
      <c r="T82" s="598">
        <f>ROUND(-S82*$V$19,0)</f>
        <v>0</v>
      </c>
      <c r="U82" s="598">
        <f>IF(R82&gt;$V$27,0,ROUND(U81*(1+$V$24),0))</f>
        <v>0</v>
      </c>
      <c r="V82" s="598">
        <f>IF(R82&gt;$V$27,0,ROUND(V81*(1+$V$25),0))</f>
        <v>0</v>
      </c>
      <c r="W82" s="598">
        <f>W81*1.03</f>
        <v>0</v>
      </c>
      <c r="X82" s="598">
        <f>SUM(S82:W82)</f>
        <v>0</v>
      </c>
      <c r="Y82" s="598"/>
      <c r="Z82" s="598">
        <f>SUM(X82:Y82)*0.5*0.9</f>
        <v>0</v>
      </c>
      <c r="AA82" s="599">
        <f>Z82*(1/((1+$V$28)^(R82-0.5)))</f>
        <v>0</v>
      </c>
    </row>
    <row r="83" s="58" customFormat="1" ht="18" customHeight="1" hidden="1">
      <c r="R83" s="584">
        <v>45</v>
      </c>
      <c r="S83" s="598">
        <f>S82*(1+$V$23)</f>
        <v>0</v>
      </c>
      <c r="T83" s="598">
        <f>ROUND(-S83*$V$19,0)</f>
        <v>0</v>
      </c>
      <c r="U83" s="598">
        <f>IF(R83&gt;$V$27,0,ROUND(U82*(1+$V$24),0))</f>
        <v>0</v>
      </c>
      <c r="V83" s="598">
        <f>IF(R83&gt;$V$27,0,ROUND(V82*(1+$V$25),0))</f>
        <v>0</v>
      </c>
      <c r="W83" s="598">
        <f>W82*1.03</f>
        <v>0</v>
      </c>
      <c r="X83" s="598">
        <f>SUM(S83:W83)</f>
        <v>0</v>
      </c>
      <c r="Y83" s="598"/>
      <c r="Z83" s="598">
        <f>SUM(X83:Y83)*0.5*0.9</f>
        <v>0</v>
      </c>
      <c r="AA83" s="599">
        <f>Z83*(1/((1+$V$28)^(R83-0.5)))</f>
        <v>0</v>
      </c>
    </row>
    <row r="84" s="58" customFormat="1" ht="18" customHeight="1" hidden="1">
      <c r="R84" s="584">
        <v>46</v>
      </c>
      <c r="S84" s="598">
        <f>S83*(1+$V$23)</f>
        <v>0</v>
      </c>
      <c r="T84" s="598">
        <f>ROUND(-S84*$V$19,0)</f>
        <v>0</v>
      </c>
      <c r="U84" s="598">
        <f>IF(R84&gt;$V$27,0,ROUND(U83*(1+$V$24),0))</f>
        <v>0</v>
      </c>
      <c r="V84" s="598">
        <f>IF(R84&gt;$V$27,0,ROUND(V83*(1+$V$25),0))</f>
        <v>0</v>
      </c>
      <c r="W84" s="598">
        <f>W83*1.03</f>
        <v>0</v>
      </c>
      <c r="X84" s="598">
        <f>SUM(S84:W84)</f>
        <v>0</v>
      </c>
      <c r="Y84" s="598"/>
      <c r="Z84" s="598">
        <f>SUM(X84:Y84)*0.5*0.9</f>
        <v>0</v>
      </c>
      <c r="AA84" s="599">
        <f>Z84*(1/((1+$V$28)^(R84-0.5)))</f>
        <v>0</v>
      </c>
    </row>
    <row r="85" s="58" customFormat="1" ht="18" customHeight="1" hidden="1">
      <c r="R85" s="584">
        <v>47</v>
      </c>
      <c r="S85" s="598">
        <f>S84*(1+$V$23)</f>
        <v>0</v>
      </c>
      <c r="T85" s="598">
        <f>ROUND(-S85*$V$19,0)</f>
        <v>0</v>
      </c>
      <c r="U85" s="598">
        <f>IF(R85&gt;$V$27,0,ROUND(U84*(1+$V$24),0))</f>
        <v>0</v>
      </c>
      <c r="V85" s="598">
        <f>IF(R85&gt;$V$27,0,ROUND(V84*(1+$V$25),0))</f>
        <v>0</v>
      </c>
      <c r="W85" s="598">
        <f>W84*1.03</f>
        <v>0</v>
      </c>
      <c r="X85" s="598">
        <f>SUM(S85:W85)</f>
        <v>0</v>
      </c>
      <c r="Y85" s="598"/>
      <c r="Z85" s="598">
        <f>SUM(X85:Y85)*0.5*0.9</f>
        <v>0</v>
      </c>
      <c r="AA85" s="599">
        <f>Z85*(1/((1+$V$28)^(R85-0.5)))</f>
        <v>0</v>
      </c>
    </row>
    <row r="86" s="58" customFormat="1" ht="18" customHeight="1" hidden="1">
      <c r="R86" s="584">
        <v>48</v>
      </c>
      <c r="S86" s="598">
        <f>S85*(1+$V$23)</f>
        <v>0</v>
      </c>
      <c r="T86" s="598">
        <f>ROUND(-S86*$V$19,0)</f>
        <v>0</v>
      </c>
      <c r="U86" s="598">
        <f>IF(R86&gt;$V$27,0,ROUND(U85*(1+$V$24),0))</f>
        <v>0</v>
      </c>
      <c r="V86" s="598">
        <f>IF(R86&gt;$V$27,0,ROUND(V85*(1+$V$25),0))</f>
        <v>0</v>
      </c>
      <c r="W86" s="598">
        <f>W85*1.03</f>
        <v>0</v>
      </c>
      <c r="X86" s="598">
        <f>SUM(S86:W86)</f>
        <v>0</v>
      </c>
      <c r="Y86" s="598"/>
      <c r="Z86" s="598">
        <f>SUM(X86:Y86)*0.5*0.9</f>
        <v>0</v>
      </c>
      <c r="AA86" s="599">
        <f>Z86*(1/((1+$V$28)^(R86-0.5)))</f>
        <v>0</v>
      </c>
    </row>
    <row r="87" s="58" customFormat="1" ht="18" customHeight="1" hidden="1">
      <c r="R87" s="584">
        <v>49</v>
      </c>
      <c r="S87" s="598">
        <f>S86*(1+$V$23)</f>
        <v>0</v>
      </c>
      <c r="T87" s="598">
        <f>ROUND(-S87*$V$19,0)</f>
        <v>0</v>
      </c>
      <c r="U87" s="598">
        <f>IF(R87&gt;$V$27,0,ROUND(U86*(1+$V$24),0))</f>
        <v>0</v>
      </c>
      <c r="V87" s="598">
        <f>IF(R87&gt;$V$27,0,ROUND(V86*(1+$V$25),0))</f>
        <v>0</v>
      </c>
      <c r="W87" s="598">
        <f>W86*1.03</f>
        <v>0</v>
      </c>
      <c r="X87" s="598">
        <f>SUM(S87:W87)</f>
        <v>0</v>
      </c>
      <c r="Y87" s="598"/>
      <c r="Z87" s="598">
        <f>SUM(X87:Y87)*0.5*0.9</f>
        <v>0</v>
      </c>
      <c r="AA87" s="599">
        <f>Z87*(1/((1+$V$28)^(R87-0.5)))</f>
        <v>0</v>
      </c>
    </row>
    <row r="88" s="58" customFormat="1" ht="18" customHeight="1" hidden="1">
      <c r="R88" s="584">
        <v>50</v>
      </c>
      <c r="S88" s="598">
        <f>S87*(1+$V$23)</f>
        <v>0</v>
      </c>
      <c r="T88" s="598">
        <f>ROUND(-S88*$V$19,0)</f>
        <v>0</v>
      </c>
      <c r="U88" s="598">
        <f>IF(R88&gt;$V$27,0,ROUND(U87*(1+$V$24),0))</f>
        <v>0</v>
      </c>
      <c r="V88" s="598">
        <f>IF(R88&gt;$V$27,0,ROUND(V87*(1+$V$25),0))</f>
        <v>0</v>
      </c>
      <c r="W88" s="598">
        <f>W87*1.03</f>
        <v>0</v>
      </c>
      <c r="X88" s="598">
        <f>SUM(S88:W88)</f>
        <v>0</v>
      </c>
      <c r="Y88" s="598"/>
      <c r="Z88" s="598">
        <f>SUM(X88:Y88)*0.5*0.9</f>
        <v>0</v>
      </c>
      <c r="AA88" s="599">
        <f>Z88*(1/((1+$V$28)^(R88-0.5)))</f>
        <v>0</v>
      </c>
    </row>
    <row r="89" s="58" customFormat="1" ht="18" customHeight="1" hidden="1">
      <c r="R89" s="584">
        <v>51</v>
      </c>
      <c r="S89" s="598">
        <f>S88*(1+$V$23)</f>
        <v>0</v>
      </c>
      <c r="T89" s="598">
        <f>ROUND(-S89*$V$19,0)</f>
        <v>0</v>
      </c>
      <c r="U89" s="598">
        <f>IF(R89&gt;$V$27,0,ROUND(U88*(1+$V$24),0))</f>
        <v>0</v>
      </c>
      <c r="V89" s="598">
        <f>IF(R89&gt;$V$27,0,ROUND(V88*(1+$V$25),0))</f>
        <v>0</v>
      </c>
      <c r="W89" s="598">
        <f>W88*1.03</f>
        <v>0</v>
      </c>
      <c r="X89" s="598">
        <f>SUM(S89:W89)</f>
        <v>0</v>
      </c>
      <c r="Y89" s="598"/>
      <c r="Z89" s="598">
        <f>SUM(X89:Y89)*0.5*0.9</f>
        <v>0</v>
      </c>
      <c r="AA89" s="599">
        <f>Z89*(1/((1+$V$28)^(R89-0.5)))</f>
        <v>0</v>
      </c>
    </row>
    <row r="90" s="58" customFormat="1" ht="18" customHeight="1" hidden="1">
      <c r="R90" s="584">
        <v>52</v>
      </c>
      <c r="S90" s="598">
        <f>S89*(1+$V$23)</f>
        <v>0</v>
      </c>
      <c r="T90" s="598">
        <f>ROUND(-S90*$V$19,0)</f>
        <v>0</v>
      </c>
      <c r="U90" s="598">
        <f>IF(R90&gt;$V$27,0,ROUND(U89*(1+$V$24),0))</f>
        <v>0</v>
      </c>
      <c r="V90" s="598">
        <f>IF(R90&gt;$V$27,0,ROUND(V89*(1+$V$25),0))</f>
        <v>0</v>
      </c>
      <c r="W90" s="598">
        <f>W89*1.03</f>
        <v>0</v>
      </c>
      <c r="X90" s="598">
        <f>SUM(S90:W90)</f>
        <v>0</v>
      </c>
      <c r="Y90" s="598"/>
      <c r="Z90" s="598">
        <f>SUM(X90:Y90)*0.5*0.9</f>
        <v>0</v>
      </c>
      <c r="AA90" s="599">
        <f>Z90*(1/((1+$V$28)^(R90-0.5)))</f>
        <v>0</v>
      </c>
    </row>
    <row r="91" s="58" customFormat="1" ht="18" customHeight="1" hidden="1">
      <c r="R91" s="584">
        <v>53</v>
      </c>
      <c r="S91" s="598">
        <f>S90*(1+$V$23)</f>
        <v>0</v>
      </c>
      <c r="T91" s="598">
        <f>ROUND(-S91*$V$19,0)</f>
        <v>0</v>
      </c>
      <c r="U91" s="598">
        <f>IF(R91&gt;$V$27,0,ROUND(U90*(1+$V$24),0))</f>
        <v>0</v>
      </c>
      <c r="V91" s="598">
        <f>IF(R91&gt;$V$27,0,ROUND(V90*(1+$V$25),0))</f>
        <v>0</v>
      </c>
      <c r="W91" s="598">
        <f>W90*1.03</f>
        <v>0</v>
      </c>
      <c r="X91" s="598">
        <f>SUM(S91:W91)</f>
        <v>0</v>
      </c>
      <c r="Y91" s="598"/>
      <c r="Z91" s="598">
        <f>SUM(X91:Y91)*0.5*0.9</f>
        <v>0</v>
      </c>
      <c r="AA91" s="599">
        <f>Z91*(1/((1+$V$28)^(R91-0.5)))</f>
        <v>0</v>
      </c>
    </row>
    <row r="92" s="58" customFormat="1" ht="18" customHeight="1" hidden="1">
      <c r="R92" s="584">
        <v>54</v>
      </c>
      <c r="S92" s="598">
        <f>S91*(1+$V$23)</f>
        <v>0</v>
      </c>
      <c r="T92" s="598">
        <f>ROUND(-S92*$V$19,0)</f>
        <v>0</v>
      </c>
      <c r="U92" s="598">
        <f>IF(R92&gt;$V$27,0,ROUND(U91*(1+$V$24),0))</f>
        <v>0</v>
      </c>
      <c r="V92" s="598">
        <f>IF(R92&gt;$V$27,0,ROUND(V91*(1+$V$25),0))</f>
        <v>0</v>
      </c>
      <c r="W92" s="598">
        <f>W91*1.03</f>
        <v>0</v>
      </c>
      <c r="X92" s="598">
        <f>SUM(S92:W92)</f>
        <v>0</v>
      </c>
      <c r="Y92" s="598"/>
      <c r="Z92" s="598">
        <f>SUM(X92:Y92)*0.5*0.9</f>
        <v>0</v>
      </c>
      <c r="AA92" s="599">
        <f>Z92*(1/((1+$V$28)^(R92-0.5)))</f>
        <v>0</v>
      </c>
    </row>
    <row r="93" s="58" customFormat="1" ht="18" customHeight="1" hidden="1">
      <c r="R93" s="584">
        <v>55</v>
      </c>
      <c r="S93" s="598">
        <f>S92*(1+$V$23)</f>
        <v>0</v>
      </c>
      <c r="T93" s="598">
        <f>ROUND(-S93*$V$19,0)</f>
        <v>0</v>
      </c>
      <c r="U93" s="598">
        <f>IF(R93&gt;$V$27,0,ROUND(U92*(1+$V$24),0))</f>
        <v>0</v>
      </c>
      <c r="V93" s="598">
        <f>IF(R93&gt;$V$27,0,ROUND(V92*(1+$V$25),0))</f>
        <v>0</v>
      </c>
      <c r="W93" s="598">
        <f>W92*1.03</f>
        <v>0</v>
      </c>
      <c r="X93" s="598">
        <f>SUM(S93:W93)</f>
        <v>0</v>
      </c>
      <c r="Y93" s="598"/>
      <c r="Z93" s="598">
        <f>SUM(X93:Y93)*0.5*0.9</f>
        <v>0</v>
      </c>
      <c r="AA93" s="599">
        <f>Z93*(1/((1+$V$28)^(R93-0.5)))</f>
        <v>0</v>
      </c>
    </row>
    <row r="94" s="58" customFormat="1" ht="18" customHeight="1" hidden="1">
      <c r="R94" s="584">
        <v>56</v>
      </c>
      <c r="S94" s="598">
        <f>S93*(1+$V$23)</f>
        <v>0</v>
      </c>
      <c r="T94" s="598">
        <f>ROUND(-S94*$V$19,0)</f>
        <v>0</v>
      </c>
      <c r="U94" s="598">
        <f>IF(R94&gt;$V$27,0,ROUND(U93*(1+$V$24),0))</f>
        <v>0</v>
      </c>
      <c r="V94" s="598">
        <f>IF(R94&gt;$V$27,0,ROUND(V93*(1+$V$25),0))</f>
        <v>0</v>
      </c>
      <c r="W94" s="598">
        <f>W93*1.03</f>
        <v>0</v>
      </c>
      <c r="X94" s="598">
        <f>SUM(S94:W94)</f>
        <v>0</v>
      </c>
      <c r="Y94" s="598"/>
      <c r="Z94" s="598">
        <f>SUM(X94:Y94)*0.5*0.9</f>
        <v>0</v>
      </c>
      <c r="AA94" s="599">
        <f>Z94*(1/((1+$V$28)^(R94-0.5)))</f>
        <v>0</v>
      </c>
    </row>
    <row r="95" s="58" customFormat="1" ht="18" customHeight="1" hidden="1">
      <c r="R95" s="584">
        <v>57</v>
      </c>
      <c r="S95" s="598">
        <f>S94*(1+$V$23)</f>
        <v>0</v>
      </c>
      <c r="T95" s="598">
        <f>ROUND(-S95*$V$19,0)</f>
        <v>0</v>
      </c>
      <c r="U95" s="598">
        <f>IF(R95&gt;$V$27,0,ROUND(U94*(1+$V$24),0))</f>
        <v>0</v>
      </c>
      <c r="V95" s="598">
        <f>IF(R95&gt;$V$27,0,ROUND(V94*(1+$V$25),0))</f>
        <v>0</v>
      </c>
      <c r="W95" s="598">
        <f>W94*1.03</f>
        <v>0</v>
      </c>
      <c r="X95" s="598">
        <f>SUM(S95:W95)</f>
        <v>0</v>
      </c>
      <c r="Y95" s="598"/>
      <c r="Z95" s="598">
        <f>SUM(X95:Y95)*0.5*0.9</f>
        <v>0</v>
      </c>
      <c r="AA95" s="599">
        <f>Z95*(1/((1+$V$28)^(R95-0.5)))</f>
        <v>0</v>
      </c>
    </row>
    <row r="96" s="58" customFormat="1" ht="18" customHeight="1" hidden="1">
      <c r="R96" s="584">
        <v>58</v>
      </c>
      <c r="S96" s="598">
        <f>S95*(1+$V$23)</f>
        <v>0</v>
      </c>
      <c r="T96" s="598">
        <f>ROUND(-S96*$V$19,0)</f>
        <v>0</v>
      </c>
      <c r="U96" s="598">
        <f>IF(R96&gt;$V$27,0,ROUND(U95*(1+$V$24),0))</f>
        <v>0</v>
      </c>
      <c r="V96" s="598">
        <f>IF(R96&gt;$V$27,0,ROUND(V95*(1+$V$25),0))</f>
        <v>0</v>
      </c>
      <c r="W96" s="598">
        <f>W95*1.03</f>
        <v>0</v>
      </c>
      <c r="X96" s="598">
        <f>SUM(S96:W96)</f>
        <v>0</v>
      </c>
      <c r="Y96" s="598"/>
      <c r="Z96" s="598">
        <f>SUM(X96:Y96)*0.5*0.9</f>
        <v>0</v>
      </c>
      <c r="AA96" s="599">
        <f>Z96*(1/((1+$V$28)^(R96-0.5)))</f>
        <v>0</v>
      </c>
    </row>
    <row r="97" s="58" customFormat="1" ht="18" customHeight="1" hidden="1">
      <c r="R97" s="584">
        <v>59</v>
      </c>
      <c r="S97" s="598">
        <f>S96*(1+$V$23)</f>
        <v>0</v>
      </c>
      <c r="T97" s="598">
        <f>ROUND(-S97*$V$19,0)</f>
        <v>0</v>
      </c>
      <c r="U97" s="598">
        <f>IF(R97&gt;$V$27,0,ROUND(U96*(1+$V$24),0))</f>
        <v>0</v>
      </c>
      <c r="V97" s="598">
        <f>IF(R97&gt;$V$27,0,ROUND(V96*(1+$V$25),0))</f>
        <v>0</v>
      </c>
      <c r="W97" s="598">
        <f>W96*1.03</f>
        <v>0</v>
      </c>
      <c r="X97" s="598">
        <f>SUM(S97:W97)</f>
        <v>0</v>
      </c>
      <c r="Y97" s="598"/>
      <c r="Z97" s="598">
        <f>SUM(X97:Y97)*0.5*0.9</f>
        <v>0</v>
      </c>
      <c r="AA97" s="599">
        <f>Z97*(1/((1+$V$28)^(R97-0.5)))</f>
        <v>0</v>
      </c>
    </row>
    <row r="98" s="58" customFormat="1" ht="18" customHeight="1" hidden="1">
      <c r="R98" s="584">
        <v>60</v>
      </c>
      <c r="S98" s="603">
        <f>S97*(1+$V$23)</f>
        <v>0</v>
      </c>
      <c r="T98" s="603">
        <f>ROUND(-S98*$V$19,0)</f>
        <v>0</v>
      </c>
      <c r="U98" s="603">
        <f>IF(R98&gt;$V$27,0,ROUND(U97*(1+$V$24),0))</f>
        <v>0</v>
      </c>
      <c r="V98" s="603">
        <f>IF(R98&gt;$V$27,0,ROUND(V97*(1+$V$25),0))</f>
        <v>0</v>
      </c>
      <c r="W98" s="603">
        <f>W97*1.03</f>
        <v>0</v>
      </c>
      <c r="X98" s="603">
        <f>SUM(S98:W98)</f>
        <v>0</v>
      </c>
      <c r="Y98" s="603"/>
      <c r="Z98" s="603">
        <f>SUM(X98:Y98)*0.5*0.9</f>
        <v>0</v>
      </c>
      <c r="AA98" s="604">
        <f>Z98*(1/((1+$V$28)^(R98-0.5)))</f>
        <v>0</v>
      </c>
    </row>
    <row r="99" s="58" customFormat="1" ht="18.75" customHeight="1" hidden="1">
      <c r="R99" s="584"/>
      <c r="S99" s="605">
        <f>SUM(S39:S98)</f>
        <v>0</v>
      </c>
      <c r="T99" s="605">
        <f>SUM(T39:T98)</f>
        <v>0</v>
      </c>
      <c r="U99" s="605">
        <f>SUM(U39:U98)</f>
        <v>0</v>
      </c>
      <c r="V99" s="605">
        <f>SUM(V39:V98)</f>
        <v>0</v>
      </c>
      <c r="W99" s="605">
        <f>SUM(W39:W98)</f>
        <v>0</v>
      </c>
      <c r="X99" s="605">
        <f>SUM(X39:X98)</f>
        <v>0</v>
      </c>
      <c r="Y99" s="605">
        <f>SUM(Y39:Y98)</f>
        <v>0</v>
      </c>
      <c r="Z99" s="605">
        <f>SUM(Z39:Z98)</f>
        <v>0</v>
      </c>
      <c r="AA99" s="605">
        <f>SUM(AA39:AA98)</f>
        <v>0</v>
      </c>
    </row>
    <row r="100" s="58" customFormat="1" ht="15.75" customHeight="1" hidden="1">
      <c r="R100" s="101"/>
      <c r="S100" s="107"/>
      <c r="T100" s="107"/>
      <c r="U100" s="107"/>
      <c r="V100" s="107"/>
      <c r="W100" s="107"/>
      <c r="X100" s="107"/>
      <c r="Y100" s="107"/>
      <c r="Z100" s="107"/>
      <c r="AA100" s="107"/>
    </row>
    <row r="104" s="58" customFormat="1" ht="15" customHeight="1" hidden="1">
      <c r="W104" t="s" s="149">
        <v>821</v>
      </c>
      <c r="AA104" t="s" s="149">
        <v>874</v>
      </c>
    </row>
    <row r="105" s="58" customFormat="1" ht="18" customHeight="1" hidden="1">
      <c r="W105" s="598">
        <f>-V17*V22</f>
        <v>0</v>
      </c>
      <c r="AA105" s="101"/>
    </row>
    <row r="106" s="58" customFormat="1" ht="18" customHeight="1" hidden="1">
      <c r="W106" s="598">
        <f>IF(R40&gt;$V$27,0,ROUND(W105*(1+$V$26),0))</f>
        <v>0</v>
      </c>
      <c r="AA106" s="101">
        <f>AA105*1.03</f>
        <v>0</v>
      </c>
    </row>
    <row r="107" s="58" customFormat="1" ht="18" customHeight="1" hidden="1">
      <c r="W107" s="598">
        <f>IF(R41&gt;$V$27,0,ROUND(W106*(1+$V$26),0))</f>
        <v>0</v>
      </c>
      <c r="AA107" s="101">
        <f>AA106*1.03</f>
        <v>0</v>
      </c>
    </row>
    <row r="108" s="58" customFormat="1" ht="18" customHeight="1" hidden="1">
      <c r="W108" s="598">
        <f>IF(R42&gt;$V$27,0,ROUND(W107*(1+$V$26),0))</f>
        <v>0</v>
      </c>
      <c r="AA108" s="101">
        <f>AA107*1.03</f>
        <v>0</v>
      </c>
    </row>
    <row r="109" s="58" customFormat="1" ht="18" customHeight="1" hidden="1">
      <c r="W109" s="598">
        <f>IF(R43&gt;$V$27,0,ROUND(W108*(1+$V$26),0))</f>
        <v>0</v>
      </c>
      <c r="AA109" s="101">
        <f>AA108*1.03</f>
        <v>0</v>
      </c>
    </row>
    <row r="110" s="58" customFormat="1" ht="18" customHeight="1" hidden="1">
      <c r="W110" s="598">
        <f>IF(R44&gt;$V$27,0,ROUND(W109*(1+$V$26),0))</f>
        <v>0</v>
      </c>
      <c r="AA110" s="101">
        <f>AA109*1.03</f>
        <v>0</v>
      </c>
    </row>
    <row r="111" s="58" customFormat="1" ht="18" customHeight="1" hidden="1">
      <c r="W111" s="598">
        <f>IF(R45&gt;$V$27,0,ROUND(W110*(1+$V$26),0))</f>
        <v>0</v>
      </c>
      <c r="AA111" s="101">
        <f>AA110*1.03</f>
        <v>0</v>
      </c>
    </row>
    <row r="112" s="58" customFormat="1" ht="18" customHeight="1" hidden="1">
      <c r="W112" s="598">
        <f>IF(R46&gt;$V$27,0,ROUND(W111*(1+$V$26),0))</f>
        <v>0</v>
      </c>
      <c r="AA112" s="101">
        <f>AA111*1.03</f>
        <v>0</v>
      </c>
    </row>
    <row r="113" s="58" customFormat="1" ht="18" customHeight="1" hidden="1">
      <c r="W113" s="598">
        <f>IF(R47&gt;$V$27,0,ROUND(W112*(1+$V$26),0))</f>
        <v>0</v>
      </c>
      <c r="AA113" s="101">
        <f>AA112*1.03</f>
        <v>0</v>
      </c>
    </row>
    <row r="114" s="58" customFormat="1" ht="18" customHeight="1" hidden="1">
      <c r="W114" s="598">
        <f>IF(R48&gt;$V$27,0,ROUND(W113*(1+$V$26),0))</f>
        <v>0</v>
      </c>
      <c r="AA114" s="101">
        <f>AA113*1.03</f>
        <v>0</v>
      </c>
    </row>
    <row r="115" s="58" customFormat="1" ht="18" customHeight="1" hidden="1">
      <c r="W115" s="598">
        <f>IF(R49&gt;$V$27,0,ROUND(W114*(1+$V$26),0))</f>
        <v>0</v>
      </c>
      <c r="AA115" s="101">
        <f>AA114*1.03</f>
        <v>0</v>
      </c>
    </row>
    <row r="116" s="58" customFormat="1" ht="18" customHeight="1" hidden="1">
      <c r="W116" s="598">
        <f>IF(R50&gt;$V$27,0,ROUND(W115*(1+$V$26),0))</f>
        <v>0</v>
      </c>
      <c r="AA116" s="101">
        <f>AA115*1.03</f>
        <v>0</v>
      </c>
    </row>
    <row r="117" s="58" customFormat="1" ht="18" customHeight="1" hidden="1">
      <c r="W117" s="598">
        <f>IF(R51&gt;$V$27,0,ROUND(W116*(1+$V$26),0))</f>
        <v>0</v>
      </c>
      <c r="AA117" s="101">
        <f>AA116*1.03</f>
        <v>0</v>
      </c>
    </row>
    <row r="118" s="58" customFormat="1" ht="18" customHeight="1" hidden="1">
      <c r="W118" s="598">
        <f>IF(R52&gt;$V$27,0,ROUND(W117*(1+$V$26),0))</f>
        <v>0</v>
      </c>
      <c r="AA118" s="101">
        <f>AA117*1.03</f>
        <v>0</v>
      </c>
    </row>
    <row r="119" s="58" customFormat="1" ht="18" customHeight="1" hidden="1">
      <c r="W119" s="598">
        <f>IF(R53&gt;$V$27,0,ROUND(W118*(1+$V$26),0))</f>
        <v>0</v>
      </c>
      <c r="AA119" s="101">
        <f>AA118*1.03</f>
        <v>0</v>
      </c>
    </row>
    <row r="120" s="58" customFormat="1" ht="18" customHeight="1" hidden="1">
      <c r="W120" s="598">
        <f>IF(R54&gt;$V$27,0,ROUND(W119*(1+$V$26),0))</f>
        <v>0</v>
      </c>
      <c r="AA120" s="101">
        <f>AA119*1.03</f>
        <v>0</v>
      </c>
    </row>
    <row r="121" s="58" customFormat="1" ht="18" customHeight="1" hidden="1">
      <c r="W121" s="598">
        <f>IF(R55&gt;$V$27,0,ROUND(W120*(1+$V$26),0))</f>
        <v>0</v>
      </c>
      <c r="AA121" s="101">
        <f>AA120*1.03</f>
        <v>0</v>
      </c>
    </row>
    <row r="122" s="58" customFormat="1" ht="18" customHeight="1" hidden="1">
      <c r="W122" s="598">
        <f>IF(R56&gt;$V$27,0,ROUND(W121*(1+$V$26),0))</f>
        <v>0</v>
      </c>
      <c r="AA122" s="101">
        <f>AA121*1.03</f>
        <v>0</v>
      </c>
    </row>
    <row r="123" s="58" customFormat="1" ht="18" customHeight="1" hidden="1">
      <c r="W123" s="598">
        <f>IF(R57&gt;$V$27,0,ROUND(W122*(1+$V$26),0))</f>
        <v>0</v>
      </c>
      <c r="AA123" s="101">
        <f>AA122*1.03</f>
        <v>0</v>
      </c>
    </row>
    <row r="124" s="58" customFormat="1" ht="18" customHeight="1" hidden="1">
      <c r="W124" s="598">
        <f>IF(R58&gt;$V$27,0,ROUND(W123*(1+$V$26),0))</f>
        <v>0</v>
      </c>
      <c r="AA124" s="101">
        <f>AA123*1.03</f>
        <v>0</v>
      </c>
    </row>
    <row r="125" s="58" customFormat="1" ht="18" customHeight="1" hidden="1">
      <c r="W125" s="598">
        <f>IF(R59&gt;$V$27,0,ROUND(W124*(1+$V$26),0))</f>
        <v>0</v>
      </c>
      <c r="AA125" s="101">
        <f>AA124*1.03</f>
        <v>0</v>
      </c>
    </row>
    <row r="126" s="58" customFormat="1" ht="18" customHeight="1" hidden="1">
      <c r="W126" s="598">
        <f>IF(R60&gt;$V$27,0,ROUND(W125*(1+$V$26),0))</f>
        <v>0</v>
      </c>
      <c r="AA126" s="101">
        <f>AA125*1.03</f>
        <v>0</v>
      </c>
    </row>
    <row r="127" s="58" customFormat="1" ht="18" customHeight="1" hidden="1">
      <c r="W127" s="598">
        <f>IF(R61&gt;$V$27,0,ROUND(W126*(1+$V$26),0))</f>
        <v>0</v>
      </c>
      <c r="AA127" s="101">
        <f>AA126*1.03</f>
        <v>0</v>
      </c>
    </row>
    <row r="128" s="58" customFormat="1" ht="18" customHeight="1" hidden="1">
      <c r="W128" s="598">
        <f>IF(R62&gt;$V$27,0,ROUND(W127*(1+$V$26),0))</f>
        <v>0</v>
      </c>
      <c r="AA128" s="101">
        <f>AA127*1.03</f>
        <v>0</v>
      </c>
    </row>
    <row r="129" s="58" customFormat="1" ht="18" customHeight="1" hidden="1">
      <c r="W129" s="598">
        <f>IF(R63&gt;$V$27,0,ROUND(W128*(1+$V$26),0))</f>
        <v>0</v>
      </c>
      <c r="AA129" s="101">
        <f>AA128*1.03</f>
        <v>0</v>
      </c>
    </row>
    <row r="130" s="58" customFormat="1" ht="18" customHeight="1" hidden="1">
      <c r="W130" s="598">
        <f>IF(R64&gt;$V$27,0,ROUND(W129*(1+$V$26),0))</f>
        <v>0</v>
      </c>
      <c r="AA130" s="101">
        <f>AA129*1.03</f>
        <v>0</v>
      </c>
    </row>
    <row r="131" s="58" customFormat="1" ht="18" customHeight="1" hidden="1">
      <c r="W131" s="598">
        <f>IF(R65&gt;$V$27,0,ROUND(W130*(1+$V$26),0))</f>
        <v>0</v>
      </c>
      <c r="AA131" s="101">
        <f>AA130*1.03</f>
        <v>0</v>
      </c>
    </row>
    <row r="132" s="58" customFormat="1" ht="18" customHeight="1" hidden="1">
      <c r="W132" s="598">
        <f>IF(R66&gt;$V$27,0,ROUND(W131*(1+$V$26),0))</f>
        <v>0</v>
      </c>
      <c r="AA132" s="101">
        <f>AA131*1.03</f>
        <v>0</v>
      </c>
    </row>
    <row r="133" s="58" customFormat="1" ht="18" customHeight="1" hidden="1">
      <c r="W133" s="598">
        <f>IF(R67&gt;$V$27,0,ROUND(W132*(1+$V$26),0))</f>
        <v>0</v>
      </c>
      <c r="AA133" s="101">
        <f>AA132*1.03</f>
        <v>0</v>
      </c>
    </row>
    <row r="134" s="58" customFormat="1" ht="18" customHeight="1" hidden="1">
      <c r="W134" s="598">
        <f>IF(R68&gt;$V$27,0,ROUND(W133*(1+$V$26),0))</f>
        <v>0</v>
      </c>
      <c r="AA134" s="101">
        <f>AA133*1.03</f>
        <v>0</v>
      </c>
    </row>
    <row r="135" s="58" customFormat="1" ht="15" customHeight="1" hidden="1">
      <c r="W135" s="101">
        <f>SUM(W105:W134)</f>
        <v>0</v>
      </c>
    </row>
    <row r="137" s="58" customFormat="1" ht="12.75" customHeight="1" hidden="1">
      <c r="Z137" t="s" s="213">
        <v>832</v>
      </c>
      <c r="AA137" s="214"/>
    </row>
    <row r="138" s="58" customFormat="1" ht="12.75" customHeight="1" hidden="1">
      <c r="Z138" s="310">
        <f>AA39</f>
        <v>0</v>
      </c>
      <c r="AA138" s="287"/>
    </row>
    <row r="139" s="58" customFormat="1" ht="12.75" customHeight="1" hidden="1">
      <c r="Z139" s="310">
        <f>AA40</f>
        <v>0</v>
      </c>
      <c r="AA139" s="287"/>
    </row>
    <row r="140" s="58" customFormat="1" ht="12.75" customHeight="1" hidden="1">
      <c r="Z140" s="310">
        <f>AA41</f>
        <v>0</v>
      </c>
      <c r="AA140" s="287"/>
    </row>
    <row r="141" s="58" customFormat="1" ht="12.75" customHeight="1" hidden="1">
      <c r="Z141" s="310">
        <f>AA42</f>
        <v>0</v>
      </c>
      <c r="AA141" s="287"/>
    </row>
    <row r="142" s="58" customFormat="1" ht="12.75" customHeight="1" hidden="1">
      <c r="Z142" s="310">
        <f>AA43</f>
        <v>0</v>
      </c>
      <c r="AA142" s="287"/>
    </row>
    <row r="143" s="58" customFormat="1" ht="12.75" customHeight="1" hidden="1">
      <c r="Z143" s="310">
        <f>AA44</f>
        <v>0</v>
      </c>
      <c r="AA143" s="287"/>
    </row>
    <row r="144" s="58" customFormat="1" ht="12.75" customHeight="1" hidden="1">
      <c r="Z144" s="310">
        <f>AA45</f>
        <v>0</v>
      </c>
      <c r="AA144" s="287"/>
    </row>
    <row r="145" s="58" customFormat="1" ht="12.75" customHeight="1" hidden="1">
      <c r="Z145" s="310">
        <f>AA46</f>
        <v>0</v>
      </c>
      <c r="AA145" s="287"/>
    </row>
    <row r="146" s="58" customFormat="1" ht="12.75" customHeight="1" hidden="1">
      <c r="Z146" s="310">
        <f>AA47</f>
        <v>0</v>
      </c>
      <c r="AA146" s="287"/>
    </row>
    <row r="147" s="58" customFormat="1" ht="12.75" customHeight="1" hidden="1">
      <c r="Z147" s="310">
        <f>AA48</f>
        <v>0</v>
      </c>
      <c r="AA147" s="287"/>
    </row>
    <row r="148" s="58" customFormat="1" ht="12.75" customHeight="1" hidden="1">
      <c r="Z148" s="310">
        <f>AA49</f>
        <v>0</v>
      </c>
      <c r="AA148" s="287"/>
    </row>
    <row r="149" s="58" customFormat="1" ht="12.75" customHeight="1" hidden="1">
      <c r="Z149" s="310">
        <f>AA50</f>
        <v>0</v>
      </c>
      <c r="AA149" s="287"/>
    </row>
    <row r="150" s="58" customFormat="1" ht="12.75" customHeight="1" hidden="1">
      <c r="Z150" s="310">
        <f>AA51</f>
        <v>0</v>
      </c>
      <c r="AA150" s="287"/>
    </row>
    <row r="151" s="58" customFormat="1" ht="12.75" customHeight="1" hidden="1">
      <c r="Z151" s="310">
        <f>AA52</f>
        <v>0</v>
      </c>
      <c r="AA151" s="287"/>
    </row>
    <row r="152" s="58" customFormat="1" ht="12.75" customHeight="1" hidden="1">
      <c r="Z152" s="310">
        <f>AA53</f>
        <v>0</v>
      </c>
      <c r="AA152" s="287"/>
    </row>
    <row r="153" s="58" customFormat="1" ht="12.75" customHeight="1" hidden="1">
      <c r="Z153" s="310">
        <f>AA54</f>
        <v>0</v>
      </c>
      <c r="AA153" s="287"/>
    </row>
    <row r="154" s="58" customFormat="1" ht="12.75" customHeight="1" hidden="1">
      <c r="Z154" s="310">
        <f>AA55</f>
        <v>0</v>
      </c>
      <c r="AA154" s="287"/>
    </row>
    <row r="155" s="58" customFormat="1" ht="12.75" customHeight="1" hidden="1">
      <c r="Z155" s="310">
        <f>AA56</f>
        <v>0</v>
      </c>
      <c r="AA155" s="287"/>
    </row>
    <row r="156" s="58" customFormat="1" ht="12.75" customHeight="1" hidden="1">
      <c r="Z156" s="310">
        <f>AA57</f>
        <v>0</v>
      </c>
      <c r="AA156" s="287"/>
    </row>
    <row r="157" s="58" customFormat="1" ht="12.75" customHeight="1" hidden="1">
      <c r="Z157" s="310">
        <f>AA58</f>
        <v>0</v>
      </c>
      <c r="AA157" s="287"/>
    </row>
    <row r="158" s="58" customFormat="1" ht="12.75" customHeight="1" hidden="1">
      <c r="Z158" s="310">
        <f>AA59</f>
        <v>0</v>
      </c>
      <c r="AA158" s="287"/>
    </row>
    <row r="159" s="58" customFormat="1" ht="12.75" customHeight="1" hidden="1">
      <c r="Z159" s="310">
        <f>AA60</f>
        <v>0</v>
      </c>
      <c r="AA159" s="287"/>
    </row>
    <row r="160" s="58" customFormat="1" ht="12.75" customHeight="1" hidden="1">
      <c r="Z160" s="310">
        <f>AA61</f>
        <v>0</v>
      </c>
      <c r="AA160" s="287"/>
    </row>
    <row r="161" s="58" customFormat="1" ht="12.75" customHeight="1" hidden="1">
      <c r="Z161" s="310">
        <f>AA62</f>
        <v>0</v>
      </c>
      <c r="AA161" s="287"/>
    </row>
    <row r="162" s="58" customFormat="1" ht="12.75" customHeight="1" hidden="1">
      <c r="Z162" s="310">
        <f>AA63</f>
        <v>0</v>
      </c>
      <c r="AA162" s="287"/>
    </row>
    <row r="163" s="58" customFormat="1" ht="12.75" customHeight="1" hidden="1">
      <c r="Z163" s="310">
        <f>AA64</f>
        <v>0</v>
      </c>
      <c r="AA163" s="287"/>
    </row>
    <row r="164" s="58" customFormat="1" ht="12.75" customHeight="1" hidden="1">
      <c r="Z164" s="310">
        <f>AA65</f>
        <v>0</v>
      </c>
      <c r="AA164" s="287"/>
    </row>
    <row r="165" s="58" customFormat="1" ht="12.75" customHeight="1" hidden="1">
      <c r="Z165" s="310">
        <f>AA66</f>
        <v>0</v>
      </c>
      <c r="AA165" s="287"/>
    </row>
    <row r="166" s="58" customFormat="1" ht="12.75" customHeight="1" hidden="1">
      <c r="Z166" s="310">
        <f>AA67</f>
        <v>0</v>
      </c>
      <c r="AA166" s="287"/>
    </row>
    <row r="167" s="58" customFormat="1" ht="15.75" customHeight="1" hidden="1">
      <c r="Z167" s="809">
        <f>X68*(1/((1+$V$28)^(R68-0.5)))</f>
        <v>0</v>
      </c>
      <c r="AA167" s="310">
        <f>SUM(Z138:Z167)</f>
        <v>0</v>
      </c>
    </row>
    <row r="168" s="58" customFormat="1" ht="12.75" customHeight="1" hidden="1">
      <c r="Z168" s="310">
        <f>AA69+(AA68-Z167)</f>
        <v>0</v>
      </c>
      <c r="AA168" s="287"/>
    </row>
    <row r="169" s="58" customFormat="1" ht="12.75" customHeight="1" hidden="1">
      <c r="Z169" s="310">
        <f>AA70</f>
        <v>0</v>
      </c>
      <c r="AA169" s="287"/>
    </row>
    <row r="170" s="58" customFormat="1" ht="12.75" customHeight="1" hidden="1">
      <c r="Z170" s="310">
        <f>AA71</f>
        <v>0</v>
      </c>
      <c r="AA170" s="287"/>
    </row>
    <row r="171" s="58" customFormat="1" ht="12.75" customHeight="1" hidden="1">
      <c r="Z171" s="310">
        <f>AA72</f>
        <v>0</v>
      </c>
      <c r="AA171" s="287"/>
    </row>
    <row r="172" s="58" customFormat="1" ht="12.75" customHeight="1" hidden="1">
      <c r="Z172" s="310">
        <f>AA73</f>
        <v>0</v>
      </c>
      <c r="AA172" s="287"/>
    </row>
    <row r="173" s="58" customFormat="1" ht="12.75" customHeight="1" hidden="1">
      <c r="Z173" s="310">
        <f>AA74</f>
        <v>0</v>
      </c>
      <c r="AA173" s="287"/>
    </row>
    <row r="174" s="58" customFormat="1" ht="12.75" customHeight="1" hidden="1">
      <c r="Z174" s="310">
        <f>AA75</f>
        <v>0</v>
      </c>
      <c r="AA174" s="287"/>
    </row>
    <row r="175" s="58" customFormat="1" ht="12.75" customHeight="1" hidden="1">
      <c r="Z175" s="310">
        <f>AA76</f>
        <v>0</v>
      </c>
      <c r="AA175" s="287"/>
    </row>
    <row r="176" s="58" customFormat="1" ht="12.75" customHeight="1" hidden="1">
      <c r="Z176" s="310">
        <f>AA77</f>
        <v>0</v>
      </c>
      <c r="AA176" s="287"/>
    </row>
    <row r="177" s="58" customFormat="1" ht="12.75" customHeight="1" hidden="1">
      <c r="Z177" s="310">
        <f>AA78</f>
        <v>0</v>
      </c>
      <c r="AA177" s="310">
        <f>SUM(Z138:Z177)</f>
        <v>0</v>
      </c>
    </row>
    <row r="178" s="58" customFormat="1" ht="12.75" customHeight="1" hidden="1">
      <c r="Z178" s="310">
        <f>AA79</f>
        <v>0</v>
      </c>
      <c r="AA178" s="287"/>
    </row>
    <row r="179" s="58" customFormat="1" ht="12.75" customHeight="1" hidden="1">
      <c r="Z179" s="310">
        <f>AA80</f>
        <v>0</v>
      </c>
      <c r="AA179" s="287"/>
    </row>
    <row r="180" s="58" customFormat="1" ht="12.75" customHeight="1" hidden="1">
      <c r="Z180" s="310">
        <f>AA81</f>
        <v>0</v>
      </c>
      <c r="AA180" s="287"/>
    </row>
    <row r="181" s="58" customFormat="1" ht="12.75" customHeight="1" hidden="1">
      <c r="Z181" s="310">
        <f>AA82</f>
        <v>0</v>
      </c>
      <c r="AA181" s="287"/>
    </row>
    <row r="182" s="58" customFormat="1" ht="12.75" customHeight="1" hidden="1">
      <c r="Z182" s="310">
        <f>AA83</f>
        <v>0</v>
      </c>
      <c r="AA182" s="287"/>
    </row>
    <row r="183" s="58" customFormat="1" ht="12.75" customHeight="1" hidden="1">
      <c r="Z183" s="310">
        <f>AA84</f>
        <v>0</v>
      </c>
      <c r="AA183" s="287"/>
    </row>
    <row r="184" s="58" customFormat="1" ht="12.75" customHeight="1" hidden="1">
      <c r="Z184" s="310">
        <f>AA85</f>
        <v>0</v>
      </c>
      <c r="AA184" s="287"/>
    </row>
    <row r="185" s="58" customFormat="1" ht="12.75" customHeight="1" hidden="1">
      <c r="Z185" s="310">
        <f>AA86</f>
        <v>0</v>
      </c>
      <c r="AA185" s="287"/>
    </row>
    <row r="186" s="58" customFormat="1" ht="12.75" customHeight="1" hidden="1">
      <c r="Z186" s="310">
        <f>AA87</f>
        <v>0</v>
      </c>
      <c r="AA186" s="287"/>
    </row>
    <row r="187" s="58" customFormat="1" ht="12.75" customHeight="1" hidden="1">
      <c r="Z187" s="310">
        <f>AA88</f>
        <v>0</v>
      </c>
      <c r="AA187" s="310">
        <f>SUM(Z138:Z187)</f>
        <v>0</v>
      </c>
    </row>
    <row r="188" s="58" customFormat="1" ht="12.75" customHeight="1" hidden="1">
      <c r="Z188" s="310">
        <f>AA89</f>
        <v>0</v>
      </c>
      <c r="AA188" s="287"/>
    </row>
    <row r="189" s="58" customFormat="1" ht="12.75" customHeight="1" hidden="1">
      <c r="Z189" s="310">
        <f>AA90</f>
        <v>0</v>
      </c>
      <c r="AA189" s="287"/>
    </row>
    <row r="190" s="58" customFormat="1" ht="12.75" customHeight="1" hidden="1">
      <c r="Z190" s="310">
        <f>AA91</f>
        <v>0</v>
      </c>
      <c r="AA190" s="287"/>
    </row>
    <row r="191" s="58" customFormat="1" ht="12.75" customHeight="1" hidden="1">
      <c r="Z191" s="310">
        <f>AA92</f>
        <v>0</v>
      </c>
      <c r="AA191" s="287"/>
    </row>
    <row r="192" s="58" customFormat="1" ht="12.75" customHeight="1" hidden="1">
      <c r="Z192" s="310">
        <f>AA93</f>
        <v>0</v>
      </c>
      <c r="AA192" s="287"/>
    </row>
    <row r="193" s="58" customFormat="1" ht="12.75" customHeight="1" hidden="1">
      <c r="Z193" s="310">
        <f>AA94</f>
        <v>0</v>
      </c>
      <c r="AA193" s="287"/>
    </row>
    <row r="194" s="58" customFormat="1" ht="12.75" customHeight="1" hidden="1">
      <c r="Z194" s="310">
        <f>AA95</f>
        <v>0</v>
      </c>
      <c r="AA194" s="287"/>
    </row>
    <row r="195" s="58" customFormat="1" ht="12.75" customHeight="1" hidden="1">
      <c r="Z195" s="310">
        <f>AA96</f>
        <v>0</v>
      </c>
      <c r="AA195" s="287"/>
    </row>
    <row r="196" s="58" customFormat="1" ht="12.75" customHeight="1" hidden="1">
      <c r="Z196" s="310">
        <f>AA97</f>
        <v>0</v>
      </c>
      <c r="AA196" s="287"/>
    </row>
    <row r="197" s="58" customFormat="1" ht="12.75" customHeight="1" hidden="1">
      <c r="Z197" s="310">
        <f>AA98</f>
        <v>0</v>
      </c>
      <c r="AA197" s="310">
        <f>SUM(Z168:Z197)</f>
        <v>0</v>
      </c>
    </row>
    <row r="400" s="58" customFormat="1" ht="12.75" customHeight="1" hidden="1">
      <c r="A400" s="190">
        <v>42789</v>
      </c>
    </row>
    <row r="402" s="58" customFormat="1" ht="12.75" customHeight="1" hidden="1">
      <c r="A402" s="190">
        <v>40323</v>
      </c>
    </row>
  </sheetData>
  <mergeCells count="2">
    <mergeCell ref="B3:C3"/>
    <mergeCell ref="Z137:AA137"/>
  </mergeCells>
  <pageMargins left="0.75" right="0.75" top="1" bottom="1" header="0.5" footer="0.5"/>
  <pageSetup firstPageNumber="1" fitToHeight="1" fitToWidth="1" scale="100" useFirstPageNumber="0" orientation="portrait" pageOrder="downThenOver"/>
  <headerFooter>
    <oddFooter>&amp;L&amp;"Helvetica,Regular"&amp;12&amp;K000000	&amp;P</oddFooter>
  </headerFooter>
</worksheet>
</file>

<file path=xl/worksheets/sheet23.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256" width="10" customWidth="1"/>
  </cols>
  <sheetData/>
  <pageMargins left="0.75" right="0.75" top="1" bottom="1" header="0.5" footer="0.5"/>
  <pageSetup firstPageNumber="1" fitToHeight="1" fitToWidth="1" scale="100" useFirstPageNumber="0" orientation="portrait" pageOrder="downThenOver"/>
  <headerFooter>
    <oddFooter>&amp;L&amp;"Helvetica,Regular"&amp;12&amp;K000000	&amp;P</oddFooter>
  </headerFooter>
  <drawing r:id="rId1"/>
  <legacyDrawing r:id="rId2"/>
</worksheet>
</file>

<file path=xl/worksheets/sheet24.xml><?xml version="1.0" encoding="utf-8"?>
<worksheet xmlns:r="http://schemas.openxmlformats.org/officeDocument/2006/relationships" xmlns="http://schemas.openxmlformats.org/spreadsheetml/2006/main">
  <sheetPr>
    <pageSetUpPr fitToPage="1"/>
  </sheetPr>
  <dimension ref="A1:Q404"/>
  <sheetViews>
    <sheetView workbookViewId="0" showGridLines="0" defaultGridColor="1"/>
  </sheetViews>
  <sheetFormatPr defaultColWidth="6.625" defaultRowHeight="12.75" customHeight="1" outlineLevelRow="0" outlineLevelCol="0"/>
  <cols>
    <col min="1" max="1" width="6.875" style="824" customWidth="1"/>
    <col min="2" max="2" width="6.875" style="824" customWidth="1"/>
    <col min="3" max="3" width="7.875" style="824" customWidth="1"/>
    <col min="4" max="4" width="7.75" style="824" customWidth="1"/>
    <col min="5" max="5" width="7.875" style="824" customWidth="1"/>
    <col min="6" max="6" width="8.5" style="824" customWidth="1"/>
    <col min="7" max="7" width="7.375" style="824" customWidth="1"/>
    <col min="8" max="8" width="5.25" style="824" customWidth="1"/>
    <col min="9" max="9" width="1.625" style="824" customWidth="1"/>
    <col min="10" max="10" width="5.75" style="824" customWidth="1"/>
    <col min="11" max="11" width="23.625" style="824" customWidth="1"/>
    <col min="12" max="12" width="14" style="824" customWidth="1"/>
    <col min="13" max="13" width="2.25" style="824" customWidth="1"/>
    <col min="14" max="14" width="10.125" style="824" customWidth="1"/>
    <col min="15" max="15" width="6.875" style="824" customWidth="1"/>
    <col min="16" max="16" hidden="1" width="6.625" style="824" customWidth="1"/>
    <col min="17" max="17" hidden="1" width="6.625" style="824" customWidth="1"/>
    <col min="18" max="256" width="6.625" style="824" customWidth="1"/>
  </cols>
  <sheetData>
    <row r="1" ht="18" customHeight="1">
      <c r="A1" t="s" s="825">
        <v>947</v>
      </c>
      <c r="B1" s="826"/>
      <c r="C1" s="826"/>
      <c r="D1" s="826"/>
      <c r="E1" s="826"/>
      <c r="F1" s="826"/>
      <c r="G1" s="826"/>
      <c r="H1" s="826"/>
      <c r="I1" s="826"/>
      <c r="J1" s="826"/>
      <c r="K1" s="826"/>
      <c r="L1" s="826"/>
      <c r="M1" s="826"/>
      <c r="N1" s="826"/>
      <c r="O1" s="203"/>
      <c r="P1" s="203"/>
      <c r="Q1" s="827"/>
    </row>
    <row r="2" ht="18" customHeight="1">
      <c r="A2" t="s" s="828">
        <v>76</v>
      </c>
      <c r="B2" s="585"/>
      <c r="C2" s="208"/>
      <c r="D2" t="s" s="575">
        <f>'Project Information'!C10</f>
        <v>950</v>
      </c>
      <c r="E2" s="208"/>
      <c r="F2" s="208"/>
      <c r="G2" s="208"/>
      <c r="H2" s="208"/>
      <c r="I2" s="208"/>
      <c r="J2" s="208"/>
      <c r="K2" s="208"/>
      <c r="L2" s="56"/>
      <c r="M2" s="10"/>
      <c r="N2" s="56"/>
      <c r="O2" s="56"/>
      <c r="P2" s="56"/>
      <c r="Q2" s="257"/>
    </row>
    <row r="3" ht="18" customHeight="1">
      <c r="A3" s="829"/>
      <c r="B3" s="585"/>
      <c r="C3" s="208"/>
      <c r="D3" s="585"/>
      <c r="E3" s="208"/>
      <c r="F3" s="208"/>
      <c r="G3" s="208"/>
      <c r="H3" s="208"/>
      <c r="I3" s="208"/>
      <c r="J3" s="208"/>
      <c r="K3" s="208"/>
      <c r="L3" s="56"/>
      <c r="M3" s="12"/>
      <c r="N3" s="56"/>
      <c r="O3" s="56"/>
      <c r="P3" s="56"/>
      <c r="Q3" s="257"/>
    </row>
    <row r="4" ht="18" customHeight="1">
      <c r="A4" s="829"/>
      <c r="B4" s="585"/>
      <c r="C4" s="208"/>
      <c r="D4" s="585"/>
      <c r="E4" s="208"/>
      <c r="F4" s="208"/>
      <c r="G4" s="208"/>
      <c r="H4" s="208"/>
      <c r="I4" s="208"/>
      <c r="J4" s="208"/>
      <c r="K4" s="208"/>
      <c r="L4" s="56"/>
      <c r="M4" s="56"/>
      <c r="N4" s="56"/>
      <c r="O4" s="56"/>
      <c r="P4" s="56"/>
      <c r="Q4" s="257"/>
    </row>
    <row r="5" ht="16" customHeight="1">
      <c r="A5" s="207"/>
      <c r="B5" s="208"/>
      <c r="C5" s="208"/>
      <c r="D5" s="208"/>
      <c r="E5" s="208"/>
      <c r="F5" s="208"/>
      <c r="G5" s="208"/>
      <c r="H5" s="208"/>
      <c r="I5" s="208"/>
      <c r="J5" s="208"/>
      <c r="K5" s="208"/>
      <c r="L5" s="67"/>
      <c r="M5" s="208"/>
      <c r="N5" s="208"/>
      <c r="O5" s="208"/>
      <c r="P5" s="208"/>
      <c r="Q5" s="211"/>
    </row>
    <row r="6" ht="15.65" customHeight="1">
      <c r="A6" s="830"/>
      <c r="B6" s="210"/>
      <c r="C6" s="210"/>
      <c r="D6" s="210"/>
      <c r="E6" s="210"/>
      <c r="F6" s="210"/>
      <c r="G6" s="210"/>
      <c r="H6" s="210"/>
      <c r="I6" s="208"/>
      <c r="J6" s="210"/>
      <c r="K6" s="210"/>
      <c r="L6" s="210"/>
      <c r="M6" s="210"/>
      <c r="N6" s="210"/>
      <c r="O6" s="208"/>
      <c r="P6" s="208"/>
      <c r="Q6" s="211"/>
    </row>
    <row r="7" ht="26.25" customHeight="1">
      <c r="A7" s="831"/>
      <c r="B7" s="832"/>
      <c r="C7" s="832"/>
      <c r="D7" s="832"/>
      <c r="E7" s="832"/>
      <c r="F7" s="832"/>
      <c r="G7" s="832"/>
      <c r="H7" s="833"/>
      <c r="I7" s="834"/>
      <c r="J7" t="s" s="59">
        <v>951</v>
      </c>
      <c r="K7" s="60"/>
      <c r="L7" s="60"/>
      <c r="M7" s="60"/>
      <c r="N7" s="61"/>
      <c r="O7" s="835"/>
      <c r="P7" s="208"/>
      <c r="Q7" s="211"/>
    </row>
    <row r="8" ht="16" customHeight="1">
      <c r="A8" s="836"/>
      <c r="B8" s="80"/>
      <c r="C8" s="80"/>
      <c r="D8" s="80"/>
      <c r="E8" s="837"/>
      <c r="F8" s="80"/>
      <c r="G8" s="80"/>
      <c r="H8" s="838"/>
      <c r="I8" s="834"/>
      <c r="J8" s="836"/>
      <c r="K8" s="80"/>
      <c r="L8" s="80"/>
      <c r="M8" s="80"/>
      <c r="N8" s="838"/>
      <c r="O8" s="835"/>
      <c r="P8" s="208"/>
      <c r="Q8" s="211"/>
    </row>
    <row r="9" ht="26.25" customHeight="1">
      <c r="A9" t="s" s="839">
        <v>952</v>
      </c>
      <c r="B9" s="160"/>
      <c r="C9" s="160"/>
      <c r="D9" s="160"/>
      <c r="E9" s="840"/>
      <c r="F9" s="840">
        <f>'Cash Flow'!I57</f>
        <v>32567.913075179</v>
      </c>
      <c r="G9" s="56"/>
      <c r="H9" s="136"/>
      <c r="I9" s="834"/>
      <c r="J9" s="116"/>
      <c r="K9" t="s" s="841">
        <v>953</v>
      </c>
      <c r="L9" s="842">
        <f>'Summary'!D34</f>
        <v>-1439264.325</v>
      </c>
      <c r="M9" s="762"/>
      <c r="N9" s="843"/>
      <c r="O9" s="835"/>
      <c r="P9" s="208"/>
      <c r="Q9" s="211"/>
    </row>
    <row r="10" ht="22.5" customHeight="1">
      <c r="A10" t="s" s="839">
        <v>954</v>
      </c>
      <c r="B10" s="160"/>
      <c r="C10" s="160"/>
      <c r="D10" s="160"/>
      <c r="E10" s="160"/>
      <c r="F10" s="840">
        <f>'Cash Flow'!BB57</f>
        <v>1875205.28461522</v>
      </c>
      <c r="G10" s="56"/>
      <c r="H10" s="136"/>
      <c r="I10" s="834"/>
      <c r="J10" s="844"/>
      <c r="K10" t="s" s="845">
        <v>955</v>
      </c>
      <c r="L10" s="846"/>
      <c r="M10" s="847"/>
      <c r="N10" s="848"/>
      <c r="O10" s="835"/>
      <c r="P10" s="208"/>
      <c r="Q10" s="211"/>
    </row>
    <row r="11" ht="21.75" customHeight="1">
      <c r="A11" t="s" s="839">
        <v>956</v>
      </c>
      <c r="B11" s="160"/>
      <c r="C11" s="160"/>
      <c r="D11" s="160"/>
      <c r="E11" s="160"/>
      <c r="F11" s="849">
        <f>'I&amp;E'!E52</f>
        <v>2.626310458053311</v>
      </c>
      <c r="G11" s="56"/>
      <c r="H11" s="136"/>
      <c r="I11" s="834"/>
      <c r="J11" s="850"/>
      <c r="K11" t="s" s="845">
        <v>957</v>
      </c>
      <c r="L11" s="846">
        <f>'Summary'!D44</f>
        <v>125000</v>
      </c>
      <c r="M11" s="847"/>
      <c r="N11" s="848"/>
      <c r="O11" s="835"/>
      <c r="P11" s="208"/>
      <c r="Q11" s="211"/>
    </row>
    <row r="12" ht="27" customHeight="1">
      <c r="A12" t="s" s="839">
        <v>958</v>
      </c>
      <c r="B12" s="160"/>
      <c r="C12" s="160"/>
      <c r="D12" s="160"/>
      <c r="E12" s="160"/>
      <c r="F12" s="840">
        <f>HLOOKUP(1,'Balance Sheet'!C47:BC50,4,FALSE)</f>
        <v>24</v>
      </c>
      <c r="G12" s="56"/>
      <c r="H12" s="136"/>
      <c r="I12" s="834"/>
      <c r="J12" s="851"/>
      <c r="K12" t="s" s="845">
        <v>959</v>
      </c>
      <c r="L12" s="852">
        <f>'Summary'!D53</f>
        <v>790000</v>
      </c>
      <c r="M12" s="847"/>
      <c r="N12" s="848"/>
      <c r="O12" s="835"/>
      <c r="P12" s="208"/>
      <c r="Q12" s="211"/>
    </row>
    <row r="13" ht="22.5" customHeight="1">
      <c r="A13" s="853"/>
      <c r="B13" s="160"/>
      <c r="C13" s="160"/>
      <c r="D13" s="160"/>
      <c r="E13" s="160"/>
      <c r="F13" s="840"/>
      <c r="G13" s="56"/>
      <c r="H13" s="136"/>
      <c r="I13" s="834"/>
      <c r="J13" s="116"/>
      <c r="K13" s="176"/>
      <c r="L13" t="s" s="854">
        <v>43</v>
      </c>
      <c r="M13" s="56"/>
      <c r="N13" s="136"/>
      <c r="O13" s="835"/>
      <c r="P13" s="208"/>
      <c r="Q13" s="211"/>
    </row>
    <row r="14" ht="22.5" customHeight="1">
      <c r="A14" t="s" s="839">
        <v>960</v>
      </c>
      <c r="B14" s="160"/>
      <c r="C14" s="160"/>
      <c r="D14" s="160"/>
      <c r="E14" s="160"/>
      <c r="F14" s="855"/>
      <c r="G14" s="56"/>
      <c r="H14" s="136"/>
      <c r="I14" s="834"/>
      <c r="J14" s="116"/>
      <c r="K14" t="s" s="149">
        <v>961</v>
      </c>
      <c r="L14" s="856">
        <f>L9+L11+L12</f>
        <v>-524264.325</v>
      </c>
      <c r="M14" s="56"/>
      <c r="N14" s="136"/>
      <c r="O14" s="835"/>
      <c r="P14" s="208"/>
      <c r="Q14" s="211"/>
    </row>
    <row r="15" ht="22.5" customHeight="1">
      <c r="A15" s="857"/>
      <c r="B15" s="858"/>
      <c r="C15" s="859">
        <v>1</v>
      </c>
      <c r="D15" s="859">
        <v>2</v>
      </c>
      <c r="E15" s="859">
        <v>3</v>
      </c>
      <c r="F15" s="859">
        <v>4</v>
      </c>
      <c r="G15" s="859">
        <v>5</v>
      </c>
      <c r="H15" s="136"/>
      <c r="I15" s="834"/>
      <c r="J15" s="116"/>
      <c r="K15" s="176"/>
      <c r="L15" s="852"/>
      <c r="M15" s="56"/>
      <c r="N15" s="136"/>
      <c r="O15" s="835"/>
      <c r="P15" s="208"/>
      <c r="Q15" s="211"/>
    </row>
    <row r="16" ht="22.5" customHeight="1">
      <c r="A16" t="s" s="860">
        <v>962</v>
      </c>
      <c r="B16" s="858"/>
      <c r="C16" s="861">
        <f>-'Cash Flow'!E32/'Cash Flow'!E14</f>
        <v>0.05364372469635627</v>
      </c>
      <c r="D16" s="861">
        <f>-'Cash Flow'!F32/'Cash Flow'!F14</f>
        <v>0.05365355135411344</v>
      </c>
      <c r="E16" s="861">
        <f>-'Cash Flow'!G32/'Cash Flow'!G14</f>
        <v>0.05366499988742276</v>
      </c>
      <c r="F16" s="861">
        <f>-'Cash Flow'!H32/'Cash Flow'!H14</f>
        <v>0.05367657809667571</v>
      </c>
      <c r="G16" s="861">
        <f>-'Cash Flow'!I32/'Cash Flow'!I14</f>
        <v>0.05368691979814437</v>
      </c>
      <c r="H16" s="136"/>
      <c r="I16" s="834"/>
      <c r="J16" s="116"/>
      <c r="K16" t="s" s="149">
        <v>963</v>
      </c>
      <c r="L16" s="852">
        <f>'Social Rent'!AV86+'Shared Ownership'!AI62+'Affordable Rent'!AR88+'Market Rent'!AN187+'Commercial'!AA187</f>
        <v>678082.0733517213</v>
      </c>
      <c r="M16" s="56"/>
      <c r="N16" s="136"/>
      <c r="O16" s="835"/>
      <c r="P16" s="208"/>
      <c r="Q16" s="211"/>
    </row>
    <row r="17" ht="22.5" customHeight="1">
      <c r="A17" t="s" s="860">
        <v>964</v>
      </c>
      <c r="B17" s="858"/>
      <c r="C17" s="861">
        <f>-'Cash Flow'!E33/'Cash Flow'!E14</f>
        <v>0.097165991902834</v>
      </c>
      <c r="D17" s="861">
        <f>-'Cash Flow'!F33/'Cash Flow'!F14</f>
        <v>0.09716107857395544</v>
      </c>
      <c r="E17" s="861">
        <f>-'Cash Flow'!G33/'Cash Flow'!G14</f>
        <v>0.09716942646282681</v>
      </c>
      <c r="F17" s="861">
        <f>-'Cash Flow'!H33/'Cash Flow'!H14</f>
        <v>0.09716433205075552</v>
      </c>
      <c r="G17" s="861">
        <f>-'Cash Flow'!I33/'Cash Flow'!I14</f>
        <v>0.09716702988592126</v>
      </c>
      <c r="H17" s="136"/>
      <c r="I17" s="834"/>
      <c r="J17" s="116"/>
      <c r="K17" s="176"/>
      <c r="L17" s="852"/>
      <c r="M17" s="56"/>
      <c r="N17" s="136"/>
      <c r="O17" s="835"/>
      <c r="P17" s="208"/>
      <c r="Q17" s="211"/>
    </row>
    <row r="18" ht="22.5" customHeight="1">
      <c r="A18" t="s" s="862">
        <v>965</v>
      </c>
      <c r="B18" s="858"/>
      <c r="C18" s="861">
        <f>-'Cash Flow'!E34/'Cash Flow'!E14</f>
        <v>0</v>
      </c>
      <c r="D18" s="861">
        <f>-'Cash Flow'!F34/'Cash Flow'!F14</f>
        <v>0</v>
      </c>
      <c r="E18" s="861">
        <f>-'Cash Flow'!G34/'Cash Flow'!G14</f>
        <v>0</v>
      </c>
      <c r="F18" s="861">
        <f>-'Cash Flow'!H34/'Cash Flow'!H14</f>
        <v>0.04506553968539779</v>
      </c>
      <c r="G18" s="861">
        <f>-'Cash Flow'!I34/'Cash Flow'!I14</f>
        <v>0.04375295115087165</v>
      </c>
      <c r="H18" s="136"/>
      <c r="I18" s="834"/>
      <c r="J18" s="116"/>
      <c r="K18" t="s" s="149">
        <v>966</v>
      </c>
      <c r="L18" s="863">
        <f>L14+L16</f>
        <v>153817.7483517213</v>
      </c>
      <c r="M18" s="56"/>
      <c r="N18" s="136"/>
      <c r="O18" s="835"/>
      <c r="P18" s="208"/>
      <c r="Q18" s="211"/>
    </row>
    <row r="19" ht="22.5" customHeight="1">
      <c r="A19" t="s" s="862">
        <v>967</v>
      </c>
      <c r="B19" s="858"/>
      <c r="C19" s="861">
        <f>(SUM('Cash Flow'!E32:E34)/'Cash Flow'!E14)*-1</f>
        <v>0.1508097165991903</v>
      </c>
      <c r="D19" s="861">
        <f>(SUM('Cash Flow'!F32:F34)/'Cash Flow'!F14)*-1</f>
        <v>0.1508146299280689</v>
      </c>
      <c r="E19" s="861">
        <f>(SUM('Cash Flow'!G32:G34)/'Cash Flow'!G14)*-1</f>
        <v>0.1508344263502496</v>
      </c>
      <c r="F19" s="861">
        <f>(SUM('Cash Flow'!H32:H34)/'Cash Flow'!H14)*-1</f>
        <v>0.195906449832829</v>
      </c>
      <c r="G19" s="861">
        <f>(SUM('Cash Flow'!I32:I34)/'Cash Flow'!I14)*-1</f>
        <v>0.1946069008349373</v>
      </c>
      <c r="H19" s="136"/>
      <c r="I19" s="834"/>
      <c r="J19" s="116"/>
      <c r="K19" s="56"/>
      <c r="L19" s="56"/>
      <c r="M19" s="56"/>
      <c r="N19" s="136"/>
      <c r="O19" s="835"/>
      <c r="P19" s="208"/>
      <c r="Q19" s="211"/>
    </row>
    <row r="20" ht="22.5" customHeight="1">
      <c r="A20" s="864"/>
      <c r="B20" s="865"/>
      <c r="C20" s="866"/>
      <c r="D20" s="866"/>
      <c r="E20" s="866"/>
      <c r="F20" s="866"/>
      <c r="G20" s="866"/>
      <c r="H20" s="867"/>
      <c r="I20" s="834"/>
      <c r="J20" s="868"/>
      <c r="K20" t="s" s="854">
        <v>968</v>
      </c>
      <c r="L20" s="869">
        <f>-'Summary'!D34/SUM('Social Rent'!I21+'Affordable Rent'!H21+'Shared Ownership'!H21+'Market Rent'!H21+'Limited Equity'!H21+'OutrightSale'!H21)</f>
        <v>0.8271634051724137</v>
      </c>
      <c r="M20" s="133"/>
      <c r="N20" s="867"/>
      <c r="O20" s="835"/>
      <c r="P20" s="208"/>
      <c r="Q20" s="211"/>
    </row>
    <row r="21" ht="16" customHeight="1">
      <c r="A21" s="870"/>
      <c r="B21" s="871"/>
      <c r="C21" s="871"/>
      <c r="D21" s="871"/>
      <c r="E21" s="871"/>
      <c r="F21" s="872"/>
      <c r="G21" s="80"/>
      <c r="H21" s="80"/>
      <c r="I21" s="208"/>
      <c r="J21" s="873"/>
      <c r="K21" s="873"/>
      <c r="L21" s="873"/>
      <c r="M21" s="873"/>
      <c r="N21" s="873"/>
      <c r="O21" s="208"/>
      <c r="P21" s="208"/>
      <c r="Q21" s="211"/>
    </row>
    <row r="22" ht="15.65" customHeight="1">
      <c r="A22" s="207"/>
      <c r="B22" s="208"/>
      <c r="C22" s="208"/>
      <c r="D22" s="208"/>
      <c r="E22" s="208"/>
      <c r="F22" s="208"/>
      <c r="G22" s="208"/>
      <c r="H22" s="208"/>
      <c r="I22" s="208"/>
      <c r="J22" s="208"/>
      <c r="K22" s="208"/>
      <c r="L22" s="208"/>
      <c r="M22" s="208"/>
      <c r="N22" s="208"/>
      <c r="O22" s="208"/>
      <c r="P22" s="208"/>
      <c r="Q22" s="211"/>
    </row>
    <row r="23" ht="15.65" customHeight="1">
      <c r="A23" s="207"/>
      <c r="B23" s="208"/>
      <c r="C23" s="208"/>
      <c r="D23" s="208"/>
      <c r="E23" s="208"/>
      <c r="F23" s="208"/>
      <c r="G23" s="208"/>
      <c r="H23" s="208"/>
      <c r="I23" s="208"/>
      <c r="J23" s="208"/>
      <c r="K23" s="208"/>
      <c r="L23" s="208"/>
      <c r="M23" s="208"/>
      <c r="N23" s="208"/>
      <c r="O23" s="208"/>
      <c r="P23" s="208"/>
      <c r="Q23" s="211"/>
    </row>
    <row r="24" ht="15.65" customHeight="1">
      <c r="A24" s="207"/>
      <c r="B24" s="208"/>
      <c r="C24" s="208"/>
      <c r="D24" s="208"/>
      <c r="E24" s="208"/>
      <c r="F24" s="208"/>
      <c r="G24" s="208"/>
      <c r="H24" s="208"/>
      <c r="I24" s="208"/>
      <c r="J24" s="208"/>
      <c r="K24" s="208"/>
      <c r="L24" s="208"/>
      <c r="M24" s="208"/>
      <c r="N24" s="208"/>
      <c r="O24" s="208"/>
      <c r="P24" s="208"/>
      <c r="Q24" s="211"/>
    </row>
    <row r="25" ht="15.65" customHeight="1">
      <c r="A25" s="207"/>
      <c r="B25" s="208"/>
      <c r="C25" s="208"/>
      <c r="D25" s="208"/>
      <c r="E25" s="208"/>
      <c r="F25" s="208"/>
      <c r="G25" s="208"/>
      <c r="H25" s="208"/>
      <c r="I25" s="208"/>
      <c r="J25" s="208"/>
      <c r="K25" s="208"/>
      <c r="L25" s="208"/>
      <c r="M25" s="208"/>
      <c r="N25" s="208"/>
      <c r="O25" s="208"/>
      <c r="P25" s="208"/>
      <c r="Q25" s="211"/>
    </row>
    <row r="26" ht="15.65" customHeight="1">
      <c r="A26" s="207"/>
      <c r="B26" s="208"/>
      <c r="C26" s="208"/>
      <c r="D26" s="208"/>
      <c r="E26" s="208"/>
      <c r="F26" s="208"/>
      <c r="G26" s="208"/>
      <c r="H26" s="208"/>
      <c r="I26" s="208"/>
      <c r="J26" s="208"/>
      <c r="K26" s="208"/>
      <c r="L26" s="208"/>
      <c r="M26" s="208"/>
      <c r="N26" s="208"/>
      <c r="O26" s="208"/>
      <c r="P26" s="208"/>
      <c r="Q26" s="211"/>
    </row>
    <row r="27" ht="15.65" customHeight="1">
      <c r="A27" s="207"/>
      <c r="B27" s="208"/>
      <c r="C27" s="208"/>
      <c r="D27" s="208"/>
      <c r="E27" s="208"/>
      <c r="F27" s="208"/>
      <c r="G27" s="208"/>
      <c r="H27" s="208"/>
      <c r="I27" s="208"/>
      <c r="J27" s="208"/>
      <c r="K27" s="208"/>
      <c r="L27" s="208"/>
      <c r="M27" s="208"/>
      <c r="N27" s="208"/>
      <c r="O27" s="208"/>
      <c r="P27" s="208"/>
      <c r="Q27" s="211"/>
    </row>
    <row r="28" ht="15.65" customHeight="1">
      <c r="A28" s="207"/>
      <c r="B28" s="208"/>
      <c r="C28" s="208"/>
      <c r="D28" s="208"/>
      <c r="E28" s="208"/>
      <c r="F28" s="208"/>
      <c r="G28" s="208"/>
      <c r="H28" s="208"/>
      <c r="I28" s="208"/>
      <c r="J28" s="208"/>
      <c r="K28" s="208"/>
      <c r="L28" s="208"/>
      <c r="M28" s="208"/>
      <c r="N28" s="208"/>
      <c r="O28" s="208"/>
      <c r="P28" s="208"/>
      <c r="Q28" s="211"/>
    </row>
    <row r="29" ht="15.65" customHeight="1">
      <c r="A29" s="207"/>
      <c r="B29" s="208"/>
      <c r="C29" s="208"/>
      <c r="D29" s="208"/>
      <c r="E29" s="208"/>
      <c r="F29" s="208"/>
      <c r="G29" s="208"/>
      <c r="H29" s="208"/>
      <c r="I29" s="208"/>
      <c r="J29" s="208"/>
      <c r="K29" s="208"/>
      <c r="L29" s="208"/>
      <c r="M29" s="208"/>
      <c r="N29" s="208"/>
      <c r="O29" s="208"/>
      <c r="P29" s="208"/>
      <c r="Q29" s="211"/>
    </row>
    <row r="30" ht="15.65" customHeight="1">
      <c r="A30" s="207"/>
      <c r="B30" s="208"/>
      <c r="C30" s="208"/>
      <c r="D30" s="208"/>
      <c r="E30" s="208"/>
      <c r="F30" s="208"/>
      <c r="G30" s="208"/>
      <c r="H30" s="208"/>
      <c r="I30" s="208"/>
      <c r="J30" s="208"/>
      <c r="K30" s="208"/>
      <c r="L30" s="208"/>
      <c r="M30" s="208"/>
      <c r="N30" s="208"/>
      <c r="O30" s="208"/>
      <c r="P30" s="208"/>
      <c r="Q30" s="211"/>
    </row>
    <row r="31" ht="15.65" customHeight="1">
      <c r="A31" s="207"/>
      <c r="B31" s="208"/>
      <c r="C31" s="208"/>
      <c r="D31" s="208"/>
      <c r="E31" s="208"/>
      <c r="F31" s="208"/>
      <c r="G31" s="208"/>
      <c r="H31" s="208"/>
      <c r="I31" s="208"/>
      <c r="J31" s="208"/>
      <c r="K31" s="208"/>
      <c r="L31" s="208"/>
      <c r="M31" s="208"/>
      <c r="N31" s="208"/>
      <c r="O31" s="208"/>
      <c r="P31" s="208"/>
      <c r="Q31" s="211"/>
    </row>
    <row r="32" ht="15.65" customHeight="1">
      <c r="A32" s="207"/>
      <c r="B32" s="208"/>
      <c r="C32" s="208"/>
      <c r="D32" s="208"/>
      <c r="E32" s="208"/>
      <c r="F32" s="208"/>
      <c r="G32" s="208"/>
      <c r="H32" s="208"/>
      <c r="I32" s="208"/>
      <c r="J32" s="208"/>
      <c r="K32" s="208"/>
      <c r="L32" s="208"/>
      <c r="M32" s="208"/>
      <c r="N32" s="208"/>
      <c r="O32" s="208"/>
      <c r="P32" s="208"/>
      <c r="Q32" s="211"/>
    </row>
    <row r="33" ht="15.65" customHeight="1">
      <c r="A33" s="207"/>
      <c r="B33" s="208"/>
      <c r="C33" s="208"/>
      <c r="D33" s="208"/>
      <c r="E33" s="208"/>
      <c r="F33" s="208"/>
      <c r="G33" s="208"/>
      <c r="H33" s="208"/>
      <c r="I33" s="208"/>
      <c r="J33" s="208"/>
      <c r="K33" s="208"/>
      <c r="L33" s="208"/>
      <c r="M33" s="208"/>
      <c r="N33" s="208"/>
      <c r="O33" s="208"/>
      <c r="P33" s="208"/>
      <c r="Q33" s="211"/>
    </row>
    <row r="34" ht="15.65" customHeight="1">
      <c r="A34" s="207"/>
      <c r="B34" s="208"/>
      <c r="C34" s="208"/>
      <c r="D34" s="208"/>
      <c r="E34" s="208"/>
      <c r="F34" s="208"/>
      <c r="G34" s="208"/>
      <c r="H34" s="208"/>
      <c r="I34" s="208"/>
      <c r="J34" s="208"/>
      <c r="K34" s="208"/>
      <c r="L34" s="208"/>
      <c r="M34" s="208"/>
      <c r="N34" s="208"/>
      <c r="O34" s="208"/>
      <c r="P34" s="208"/>
      <c r="Q34" s="211"/>
    </row>
    <row r="35" ht="15.65" customHeight="1">
      <c r="A35" s="207"/>
      <c r="B35" s="208"/>
      <c r="C35" s="208"/>
      <c r="D35" s="208"/>
      <c r="E35" s="208"/>
      <c r="F35" s="208"/>
      <c r="G35" s="208"/>
      <c r="H35" s="208"/>
      <c r="I35" s="208"/>
      <c r="J35" s="208"/>
      <c r="K35" s="208"/>
      <c r="L35" s="208"/>
      <c r="M35" s="208"/>
      <c r="N35" s="208"/>
      <c r="O35" s="208"/>
      <c r="P35" s="208"/>
      <c r="Q35" s="211"/>
    </row>
    <row r="36" ht="15.65" customHeight="1">
      <c r="A36" s="207"/>
      <c r="B36" s="208"/>
      <c r="C36" s="208"/>
      <c r="D36" s="208"/>
      <c r="E36" s="208"/>
      <c r="F36" s="208"/>
      <c r="G36" s="208"/>
      <c r="H36" s="208"/>
      <c r="I36" s="208"/>
      <c r="J36" s="208"/>
      <c r="K36" s="208"/>
      <c r="L36" s="208"/>
      <c r="M36" s="208"/>
      <c r="N36" s="208"/>
      <c r="O36" s="208"/>
      <c r="P36" s="208"/>
      <c r="Q36" s="211"/>
    </row>
    <row r="37" ht="15.65" customHeight="1">
      <c r="A37" s="207"/>
      <c r="B37" s="208"/>
      <c r="C37" s="208"/>
      <c r="D37" s="208"/>
      <c r="E37" s="208"/>
      <c r="F37" s="208"/>
      <c r="G37" s="208"/>
      <c r="H37" s="208"/>
      <c r="I37" s="208"/>
      <c r="J37" s="208"/>
      <c r="K37" s="208"/>
      <c r="L37" s="208"/>
      <c r="M37" s="208"/>
      <c r="N37" s="208"/>
      <c r="O37" s="208"/>
      <c r="P37" s="208"/>
      <c r="Q37" s="211"/>
    </row>
    <row r="38" ht="15.65" customHeight="1">
      <c r="A38" s="207"/>
      <c r="B38" s="208"/>
      <c r="C38" s="208"/>
      <c r="D38" s="208"/>
      <c r="E38" s="208"/>
      <c r="F38" s="208"/>
      <c r="G38" s="208"/>
      <c r="H38" s="208"/>
      <c r="I38" s="208"/>
      <c r="J38" s="208"/>
      <c r="K38" s="208"/>
      <c r="L38" s="208"/>
      <c r="M38" s="208"/>
      <c r="N38" s="208"/>
      <c r="O38" s="208"/>
      <c r="P38" s="208"/>
      <c r="Q38" s="211"/>
    </row>
    <row r="39" ht="12.75" customHeight="1" hidden="1">
      <c r="A39" s="207"/>
      <c r="B39" s="208"/>
      <c r="C39" s="208"/>
      <c r="D39" s="208"/>
      <c r="E39" s="208"/>
      <c r="F39" s="208"/>
      <c r="G39" s="208"/>
      <c r="H39" s="208"/>
      <c r="I39" s="208"/>
      <c r="J39" s="208"/>
      <c r="K39" s="208"/>
      <c r="L39" s="208"/>
      <c r="M39" s="208"/>
      <c r="N39" s="208"/>
      <c r="O39" s="208"/>
      <c r="P39" s="208"/>
      <c r="Q39" s="211"/>
    </row>
    <row r="40" ht="12.75" customHeight="1" hidden="1">
      <c r="A40" s="207"/>
      <c r="B40" s="208"/>
      <c r="C40" s="208"/>
      <c r="D40" s="208"/>
      <c r="E40" s="208"/>
      <c r="F40" s="208"/>
      <c r="G40" s="208"/>
      <c r="H40" s="208"/>
      <c r="I40" s="208"/>
      <c r="J40" s="208"/>
      <c r="K40" s="208"/>
      <c r="L40" s="208"/>
      <c r="M40" s="208"/>
      <c r="N40" s="208"/>
      <c r="O40" s="208"/>
      <c r="P40" s="208"/>
      <c r="Q40" s="211"/>
    </row>
    <row r="41" ht="12.75" customHeight="1" hidden="1">
      <c r="A41" s="207"/>
      <c r="B41" s="208"/>
      <c r="C41" s="208"/>
      <c r="D41" s="208"/>
      <c r="E41" s="208"/>
      <c r="F41" s="208"/>
      <c r="G41" s="208"/>
      <c r="H41" s="208"/>
      <c r="I41" s="208"/>
      <c r="J41" s="208"/>
      <c r="K41" s="208"/>
      <c r="L41" s="208"/>
      <c r="M41" s="208"/>
      <c r="N41" s="208"/>
      <c r="O41" s="208"/>
      <c r="P41" s="208"/>
      <c r="Q41" s="211"/>
    </row>
    <row r="42" ht="12.75" customHeight="1" hidden="1">
      <c r="A42" s="207"/>
      <c r="B42" s="208"/>
      <c r="C42" s="208"/>
      <c r="D42" s="208"/>
      <c r="E42" s="208"/>
      <c r="F42" s="208"/>
      <c r="G42" s="208"/>
      <c r="H42" s="208"/>
      <c r="I42" s="208"/>
      <c r="J42" s="208"/>
      <c r="K42" s="208"/>
      <c r="L42" s="208"/>
      <c r="M42" s="208"/>
      <c r="N42" s="208"/>
      <c r="O42" s="208"/>
      <c r="P42" s="208"/>
      <c r="Q42" s="211"/>
    </row>
    <row r="43" ht="12.75" customHeight="1" hidden="1">
      <c r="A43" s="207"/>
      <c r="B43" s="208"/>
      <c r="C43" s="208"/>
      <c r="D43" s="208"/>
      <c r="E43" s="208"/>
      <c r="F43" s="208"/>
      <c r="G43" s="208"/>
      <c r="H43" s="208"/>
      <c r="I43" s="208"/>
      <c r="J43" s="208"/>
      <c r="K43" s="208"/>
      <c r="L43" s="208"/>
      <c r="M43" s="208"/>
      <c r="N43" s="208"/>
      <c r="O43" s="208"/>
      <c r="P43" s="208"/>
      <c r="Q43" s="211"/>
    </row>
    <row r="44" ht="12.75" customHeight="1" hidden="1">
      <c r="A44" s="207"/>
      <c r="B44" s="208"/>
      <c r="C44" s="208"/>
      <c r="D44" s="208"/>
      <c r="E44" s="208"/>
      <c r="F44" s="208"/>
      <c r="G44" s="208"/>
      <c r="H44" s="208"/>
      <c r="I44" s="208"/>
      <c r="J44" s="208"/>
      <c r="K44" s="208"/>
      <c r="L44" s="208"/>
      <c r="M44" s="208"/>
      <c r="N44" s="208"/>
      <c r="O44" s="208"/>
      <c r="P44" s="208"/>
      <c r="Q44" s="211"/>
    </row>
    <row r="45" ht="12.75" customHeight="1" hidden="1">
      <c r="A45" s="207"/>
      <c r="B45" s="208"/>
      <c r="C45" s="208"/>
      <c r="D45" s="208"/>
      <c r="E45" s="208"/>
      <c r="F45" s="208"/>
      <c r="G45" s="208"/>
      <c r="H45" s="208"/>
      <c r="I45" s="208"/>
      <c r="J45" s="208"/>
      <c r="K45" s="208"/>
      <c r="L45" s="208"/>
      <c r="M45" s="208"/>
      <c r="N45" s="208"/>
      <c r="O45" s="208"/>
      <c r="P45" s="208"/>
      <c r="Q45" s="211"/>
    </row>
    <row r="46" ht="12.75" customHeight="1" hidden="1">
      <c r="A46" s="207"/>
      <c r="B46" s="208"/>
      <c r="C46" s="208"/>
      <c r="D46" s="208"/>
      <c r="E46" s="208"/>
      <c r="F46" s="208"/>
      <c r="G46" s="208"/>
      <c r="H46" s="208"/>
      <c r="I46" s="208"/>
      <c r="J46" s="208"/>
      <c r="K46" s="208"/>
      <c r="L46" s="208"/>
      <c r="M46" s="208"/>
      <c r="N46" s="208"/>
      <c r="O46" s="208"/>
      <c r="P46" s="208"/>
      <c r="Q46" s="211"/>
    </row>
    <row r="47" ht="12.75" customHeight="1" hidden="1">
      <c r="A47" s="207"/>
      <c r="B47" s="208"/>
      <c r="C47" s="208"/>
      <c r="D47" s="208"/>
      <c r="E47" s="208"/>
      <c r="F47" s="208"/>
      <c r="G47" s="208"/>
      <c r="H47" s="208"/>
      <c r="I47" s="208"/>
      <c r="J47" s="208"/>
      <c r="K47" s="208"/>
      <c r="L47" s="208"/>
      <c r="M47" s="208"/>
      <c r="N47" s="208"/>
      <c r="O47" s="208"/>
      <c r="P47" s="208"/>
      <c r="Q47" s="211"/>
    </row>
    <row r="48" ht="12.75" customHeight="1" hidden="1">
      <c r="A48" s="207"/>
      <c r="B48" s="208"/>
      <c r="C48" s="208"/>
      <c r="D48" s="208"/>
      <c r="E48" s="208"/>
      <c r="F48" s="208"/>
      <c r="G48" s="208"/>
      <c r="H48" s="208"/>
      <c r="I48" s="208"/>
      <c r="J48" s="208"/>
      <c r="K48" s="208"/>
      <c r="L48" s="208"/>
      <c r="M48" s="208"/>
      <c r="N48" s="208"/>
      <c r="O48" s="208"/>
      <c r="P48" s="208"/>
      <c r="Q48" s="211"/>
    </row>
    <row r="49" ht="12.75" customHeight="1" hidden="1">
      <c r="A49" s="207"/>
      <c r="B49" s="208"/>
      <c r="C49" s="208"/>
      <c r="D49" s="208"/>
      <c r="E49" s="208"/>
      <c r="F49" s="208"/>
      <c r="G49" s="208"/>
      <c r="H49" s="208"/>
      <c r="I49" s="208"/>
      <c r="J49" s="208"/>
      <c r="K49" s="208"/>
      <c r="L49" s="208"/>
      <c r="M49" s="208"/>
      <c r="N49" s="208"/>
      <c r="O49" s="208"/>
      <c r="P49" s="208"/>
      <c r="Q49" s="211"/>
    </row>
    <row r="50" ht="12.75" customHeight="1" hidden="1">
      <c r="A50" s="207"/>
      <c r="B50" s="208"/>
      <c r="C50" s="208"/>
      <c r="D50" s="208"/>
      <c r="E50" s="208"/>
      <c r="F50" s="208"/>
      <c r="G50" s="208"/>
      <c r="H50" s="208"/>
      <c r="I50" s="208"/>
      <c r="J50" s="208"/>
      <c r="K50" s="208"/>
      <c r="L50" s="208"/>
      <c r="M50" s="208"/>
      <c r="N50" s="208"/>
      <c r="O50" s="208"/>
      <c r="P50" s="208"/>
      <c r="Q50" s="211"/>
    </row>
    <row r="51" ht="12.75" customHeight="1" hidden="1">
      <c r="A51" s="207"/>
      <c r="B51" s="208"/>
      <c r="C51" s="208"/>
      <c r="D51" s="208"/>
      <c r="E51" s="208"/>
      <c r="F51" s="208"/>
      <c r="G51" s="208"/>
      <c r="H51" s="208"/>
      <c r="I51" s="208"/>
      <c r="J51" s="208"/>
      <c r="K51" s="208"/>
      <c r="L51" s="208"/>
      <c r="M51" s="208"/>
      <c r="N51" s="208"/>
      <c r="O51" s="208"/>
      <c r="P51" s="208"/>
      <c r="Q51" s="211"/>
    </row>
    <row r="52" ht="12.75" customHeight="1" hidden="1">
      <c r="A52" s="207"/>
      <c r="B52" s="208"/>
      <c r="C52" s="208"/>
      <c r="D52" s="208"/>
      <c r="E52" s="208"/>
      <c r="F52" s="208"/>
      <c r="G52" s="208"/>
      <c r="H52" s="208"/>
      <c r="I52" s="208"/>
      <c r="J52" s="208"/>
      <c r="K52" s="208"/>
      <c r="L52" s="208"/>
      <c r="M52" s="208"/>
      <c r="N52" s="208"/>
      <c r="O52" s="208"/>
      <c r="P52" s="208"/>
      <c r="Q52" s="211"/>
    </row>
    <row r="53" ht="12.75" customHeight="1" hidden="1">
      <c r="A53" s="207"/>
      <c r="B53" s="208"/>
      <c r="C53" s="208"/>
      <c r="D53" s="208"/>
      <c r="E53" s="208"/>
      <c r="F53" s="208"/>
      <c r="G53" s="208"/>
      <c r="H53" s="208"/>
      <c r="I53" s="208"/>
      <c r="J53" s="208"/>
      <c r="K53" s="208"/>
      <c r="L53" s="208"/>
      <c r="M53" s="208"/>
      <c r="N53" s="208"/>
      <c r="O53" s="208"/>
      <c r="P53" s="208"/>
      <c r="Q53" s="211"/>
    </row>
    <row r="54" ht="12.75" customHeight="1" hidden="1">
      <c r="A54" s="207"/>
      <c r="B54" s="208"/>
      <c r="C54" s="208"/>
      <c r="D54" s="208"/>
      <c r="E54" s="208"/>
      <c r="F54" s="208"/>
      <c r="G54" s="208"/>
      <c r="H54" s="208"/>
      <c r="I54" s="208"/>
      <c r="J54" s="208"/>
      <c r="K54" s="208"/>
      <c r="L54" s="208"/>
      <c r="M54" s="208"/>
      <c r="N54" s="208"/>
      <c r="O54" s="208"/>
      <c r="P54" s="208"/>
      <c r="Q54" s="211"/>
    </row>
    <row r="55" ht="12.75" customHeight="1" hidden="1">
      <c r="A55" s="207"/>
      <c r="B55" s="208"/>
      <c r="C55" s="208"/>
      <c r="D55" s="208"/>
      <c r="E55" s="208"/>
      <c r="F55" s="208"/>
      <c r="G55" s="208"/>
      <c r="H55" s="208"/>
      <c r="I55" s="208"/>
      <c r="J55" s="208"/>
      <c r="K55" s="208"/>
      <c r="L55" s="208"/>
      <c r="M55" s="208"/>
      <c r="N55" s="208"/>
      <c r="O55" s="208"/>
      <c r="P55" s="208"/>
      <c r="Q55" s="211"/>
    </row>
    <row r="56" ht="12.75" customHeight="1" hidden="1">
      <c r="A56" s="207"/>
      <c r="B56" s="208"/>
      <c r="C56" s="208"/>
      <c r="D56" s="208"/>
      <c r="E56" s="208"/>
      <c r="F56" s="208"/>
      <c r="G56" s="208"/>
      <c r="H56" s="208"/>
      <c r="I56" s="208"/>
      <c r="J56" s="208"/>
      <c r="K56" s="208"/>
      <c r="L56" s="208"/>
      <c r="M56" s="208"/>
      <c r="N56" s="208"/>
      <c r="O56" s="208"/>
      <c r="P56" s="208"/>
      <c r="Q56" s="211"/>
    </row>
    <row r="57" ht="12.75" customHeight="1" hidden="1">
      <c r="A57" s="207"/>
      <c r="B57" s="208"/>
      <c r="C57" s="208"/>
      <c r="D57" s="208"/>
      <c r="E57" s="208"/>
      <c r="F57" s="208"/>
      <c r="G57" s="208"/>
      <c r="H57" s="208"/>
      <c r="I57" s="208"/>
      <c r="J57" s="208"/>
      <c r="K57" s="208"/>
      <c r="L57" s="208"/>
      <c r="M57" s="208"/>
      <c r="N57" s="208"/>
      <c r="O57" s="208"/>
      <c r="P57" s="208"/>
      <c r="Q57" s="211"/>
    </row>
    <row r="58" ht="12.75" customHeight="1" hidden="1">
      <c r="A58" s="207"/>
      <c r="B58" s="208"/>
      <c r="C58" s="208"/>
      <c r="D58" s="208"/>
      <c r="E58" s="208"/>
      <c r="F58" s="208"/>
      <c r="G58" s="208"/>
      <c r="H58" s="208"/>
      <c r="I58" s="208"/>
      <c r="J58" s="208"/>
      <c r="K58" s="208"/>
      <c r="L58" s="208"/>
      <c r="M58" s="208"/>
      <c r="N58" s="208"/>
      <c r="O58" s="208"/>
      <c r="P58" s="208"/>
      <c r="Q58" s="211"/>
    </row>
    <row r="59" ht="12.75" customHeight="1" hidden="1">
      <c r="A59" s="207"/>
      <c r="B59" s="208"/>
      <c r="C59" s="208"/>
      <c r="D59" s="208"/>
      <c r="E59" s="208"/>
      <c r="F59" s="208"/>
      <c r="G59" s="208"/>
      <c r="H59" s="208"/>
      <c r="I59" s="208"/>
      <c r="J59" s="208"/>
      <c r="K59" s="208"/>
      <c r="L59" s="208"/>
      <c r="M59" s="208"/>
      <c r="N59" s="208"/>
      <c r="O59" s="208"/>
      <c r="P59" s="208"/>
      <c r="Q59" s="211"/>
    </row>
    <row r="60" ht="12.75" customHeight="1" hidden="1">
      <c r="A60" s="207"/>
      <c r="B60" s="208"/>
      <c r="C60" s="208"/>
      <c r="D60" s="208"/>
      <c r="E60" s="208"/>
      <c r="F60" s="208"/>
      <c r="G60" s="208"/>
      <c r="H60" s="208"/>
      <c r="I60" s="208"/>
      <c r="J60" s="208"/>
      <c r="K60" s="208"/>
      <c r="L60" s="208"/>
      <c r="M60" s="208"/>
      <c r="N60" s="208"/>
      <c r="O60" s="208"/>
      <c r="P60" s="208"/>
      <c r="Q60" s="211"/>
    </row>
    <row r="61" ht="12.75" customHeight="1" hidden="1">
      <c r="A61" s="207"/>
      <c r="B61" s="208"/>
      <c r="C61" s="208"/>
      <c r="D61" s="208"/>
      <c r="E61" s="208"/>
      <c r="F61" s="208"/>
      <c r="G61" s="208"/>
      <c r="H61" s="208"/>
      <c r="I61" s="208"/>
      <c r="J61" s="208"/>
      <c r="K61" s="208"/>
      <c r="L61" s="208"/>
      <c r="M61" s="208"/>
      <c r="N61" s="208"/>
      <c r="O61" s="208"/>
      <c r="P61" s="208"/>
      <c r="Q61" s="211"/>
    </row>
    <row r="62" ht="12.75" customHeight="1" hidden="1">
      <c r="A62" s="207"/>
      <c r="B62" s="208"/>
      <c r="C62" s="208"/>
      <c r="D62" s="208"/>
      <c r="E62" s="208"/>
      <c r="F62" s="208"/>
      <c r="G62" s="208"/>
      <c r="H62" s="208"/>
      <c r="I62" s="208"/>
      <c r="J62" s="208"/>
      <c r="K62" s="208"/>
      <c r="L62" s="208"/>
      <c r="M62" s="208"/>
      <c r="N62" s="208"/>
      <c r="O62" s="208"/>
      <c r="P62" s="208"/>
      <c r="Q62" s="211"/>
    </row>
    <row r="63" ht="12.75" customHeight="1" hidden="1">
      <c r="A63" s="207"/>
      <c r="B63" s="208"/>
      <c r="C63" s="208"/>
      <c r="D63" s="208"/>
      <c r="E63" s="208"/>
      <c r="F63" s="208"/>
      <c r="G63" s="208"/>
      <c r="H63" s="208"/>
      <c r="I63" s="208"/>
      <c r="J63" s="208"/>
      <c r="K63" s="208"/>
      <c r="L63" s="208"/>
      <c r="M63" s="208"/>
      <c r="N63" s="208"/>
      <c r="O63" s="208"/>
      <c r="P63" s="208"/>
      <c r="Q63" s="211"/>
    </row>
    <row r="64" ht="12.75" customHeight="1" hidden="1">
      <c r="A64" s="207"/>
      <c r="B64" s="208"/>
      <c r="C64" s="208"/>
      <c r="D64" s="208"/>
      <c r="E64" s="208"/>
      <c r="F64" s="208"/>
      <c r="G64" s="208"/>
      <c r="H64" s="208"/>
      <c r="I64" s="208"/>
      <c r="J64" s="208"/>
      <c r="K64" s="208"/>
      <c r="L64" s="208"/>
      <c r="M64" s="208"/>
      <c r="N64" s="208"/>
      <c r="O64" s="208"/>
      <c r="P64" s="208"/>
      <c r="Q64" s="211"/>
    </row>
    <row r="65" ht="12.75" customHeight="1" hidden="1">
      <c r="A65" s="207"/>
      <c r="B65" s="208"/>
      <c r="C65" s="208"/>
      <c r="D65" s="208"/>
      <c r="E65" s="208"/>
      <c r="F65" s="208"/>
      <c r="G65" s="208"/>
      <c r="H65" s="208"/>
      <c r="I65" s="208"/>
      <c r="J65" s="208"/>
      <c r="K65" s="208"/>
      <c r="L65" s="208"/>
      <c r="M65" s="208"/>
      <c r="N65" s="208"/>
      <c r="O65" s="208"/>
      <c r="P65" s="208"/>
      <c r="Q65" s="211"/>
    </row>
    <row r="66" ht="12.75" customHeight="1" hidden="1">
      <c r="A66" s="207"/>
      <c r="B66" s="208"/>
      <c r="C66" s="208"/>
      <c r="D66" s="208"/>
      <c r="E66" s="208"/>
      <c r="F66" s="208"/>
      <c r="G66" s="208"/>
      <c r="H66" s="208"/>
      <c r="I66" s="208"/>
      <c r="J66" s="208"/>
      <c r="K66" s="208"/>
      <c r="L66" s="208"/>
      <c r="M66" s="208"/>
      <c r="N66" s="208"/>
      <c r="O66" s="208"/>
      <c r="P66" s="208"/>
      <c r="Q66" s="211"/>
    </row>
    <row r="67" ht="12.75" customHeight="1" hidden="1">
      <c r="A67" s="207"/>
      <c r="B67" s="208"/>
      <c r="C67" s="208"/>
      <c r="D67" s="208"/>
      <c r="E67" s="208"/>
      <c r="F67" s="208"/>
      <c r="G67" s="208"/>
      <c r="H67" s="208"/>
      <c r="I67" s="208"/>
      <c r="J67" s="208"/>
      <c r="K67" s="208"/>
      <c r="L67" s="208"/>
      <c r="M67" s="208"/>
      <c r="N67" s="208"/>
      <c r="O67" s="208"/>
      <c r="P67" s="208"/>
      <c r="Q67" s="211"/>
    </row>
    <row r="68" ht="12.75" customHeight="1" hidden="1">
      <c r="A68" s="207"/>
      <c r="B68" s="208"/>
      <c r="C68" s="208"/>
      <c r="D68" s="208"/>
      <c r="E68" s="208"/>
      <c r="F68" s="208"/>
      <c r="G68" s="208"/>
      <c r="H68" s="208"/>
      <c r="I68" s="208"/>
      <c r="J68" s="208"/>
      <c r="K68" s="208"/>
      <c r="L68" s="208"/>
      <c r="M68" s="208"/>
      <c r="N68" s="208"/>
      <c r="O68" s="208"/>
      <c r="P68" s="208"/>
      <c r="Q68" s="211"/>
    </row>
    <row r="69" ht="12.75" customHeight="1" hidden="1">
      <c r="A69" s="207"/>
      <c r="B69" s="208"/>
      <c r="C69" s="208"/>
      <c r="D69" s="208"/>
      <c r="E69" s="208"/>
      <c r="F69" s="208"/>
      <c r="G69" s="208"/>
      <c r="H69" s="208"/>
      <c r="I69" s="208"/>
      <c r="J69" s="208"/>
      <c r="K69" s="208"/>
      <c r="L69" s="208"/>
      <c r="M69" s="208"/>
      <c r="N69" s="208"/>
      <c r="O69" s="208"/>
      <c r="P69" s="208"/>
      <c r="Q69" s="211"/>
    </row>
    <row r="70" ht="12.75" customHeight="1" hidden="1">
      <c r="A70" s="207"/>
      <c r="B70" s="208"/>
      <c r="C70" s="208"/>
      <c r="D70" s="208"/>
      <c r="E70" s="208"/>
      <c r="F70" s="208"/>
      <c r="G70" s="208"/>
      <c r="H70" s="208"/>
      <c r="I70" s="208"/>
      <c r="J70" s="208"/>
      <c r="K70" s="208"/>
      <c r="L70" s="208"/>
      <c r="M70" s="208"/>
      <c r="N70" s="208"/>
      <c r="O70" s="208"/>
      <c r="P70" s="208"/>
      <c r="Q70" s="211"/>
    </row>
    <row r="71" ht="12.75" customHeight="1" hidden="1">
      <c r="A71" s="207"/>
      <c r="B71" s="208"/>
      <c r="C71" s="208"/>
      <c r="D71" s="208"/>
      <c r="E71" s="208"/>
      <c r="F71" s="208"/>
      <c r="G71" s="208"/>
      <c r="H71" s="208"/>
      <c r="I71" s="208"/>
      <c r="J71" s="208"/>
      <c r="K71" s="208"/>
      <c r="L71" s="208"/>
      <c r="M71" s="208"/>
      <c r="N71" s="208"/>
      <c r="O71" s="208"/>
      <c r="P71" s="208"/>
      <c r="Q71" s="211"/>
    </row>
    <row r="72" ht="12.75" customHeight="1" hidden="1">
      <c r="A72" s="207"/>
      <c r="B72" s="208"/>
      <c r="C72" s="208"/>
      <c r="D72" s="208"/>
      <c r="E72" s="208"/>
      <c r="F72" s="208"/>
      <c r="G72" s="208"/>
      <c r="H72" s="208"/>
      <c r="I72" s="208"/>
      <c r="J72" s="208"/>
      <c r="K72" s="208"/>
      <c r="L72" s="208"/>
      <c r="M72" s="208"/>
      <c r="N72" s="208"/>
      <c r="O72" s="208"/>
      <c r="P72" s="208"/>
      <c r="Q72" s="211"/>
    </row>
    <row r="73" ht="12.75" customHeight="1" hidden="1">
      <c r="A73" s="207"/>
      <c r="B73" s="208"/>
      <c r="C73" s="208"/>
      <c r="D73" s="208"/>
      <c r="E73" s="208"/>
      <c r="F73" s="208"/>
      <c r="G73" s="208"/>
      <c r="H73" s="208"/>
      <c r="I73" s="208"/>
      <c r="J73" s="208"/>
      <c r="K73" s="208"/>
      <c r="L73" s="208"/>
      <c r="M73" s="208"/>
      <c r="N73" s="208"/>
      <c r="O73" s="208"/>
      <c r="P73" s="208"/>
      <c r="Q73" s="211"/>
    </row>
    <row r="74" ht="12.75" customHeight="1" hidden="1">
      <c r="A74" s="207"/>
      <c r="B74" s="208"/>
      <c r="C74" s="208"/>
      <c r="D74" s="208"/>
      <c r="E74" s="208"/>
      <c r="F74" s="208"/>
      <c r="G74" s="208"/>
      <c r="H74" s="208"/>
      <c r="I74" s="208"/>
      <c r="J74" s="208"/>
      <c r="K74" s="208"/>
      <c r="L74" s="208"/>
      <c r="M74" s="208"/>
      <c r="N74" s="208"/>
      <c r="O74" s="208"/>
      <c r="P74" s="208"/>
      <c r="Q74" s="211"/>
    </row>
    <row r="75" ht="12.75" customHeight="1" hidden="1">
      <c r="A75" s="207"/>
      <c r="B75" s="208"/>
      <c r="C75" s="208"/>
      <c r="D75" s="208"/>
      <c r="E75" s="208"/>
      <c r="F75" s="208"/>
      <c r="G75" s="208"/>
      <c r="H75" s="208"/>
      <c r="I75" s="208"/>
      <c r="J75" s="208"/>
      <c r="K75" s="208"/>
      <c r="L75" s="208"/>
      <c r="M75" s="208"/>
      <c r="N75" s="208"/>
      <c r="O75" s="208"/>
      <c r="P75" s="208"/>
      <c r="Q75" s="211"/>
    </row>
    <row r="76" ht="12.75" customHeight="1" hidden="1">
      <c r="A76" s="207"/>
      <c r="B76" s="208"/>
      <c r="C76" s="208"/>
      <c r="D76" s="208"/>
      <c r="E76" s="208"/>
      <c r="F76" s="208"/>
      <c r="G76" s="208"/>
      <c r="H76" s="208"/>
      <c r="I76" s="208"/>
      <c r="J76" s="208"/>
      <c r="K76" s="208"/>
      <c r="L76" s="208"/>
      <c r="M76" s="208"/>
      <c r="N76" s="208"/>
      <c r="O76" s="208"/>
      <c r="P76" s="208"/>
      <c r="Q76" s="211"/>
    </row>
    <row r="77" ht="12.75" customHeight="1" hidden="1">
      <c r="A77" s="207"/>
      <c r="B77" s="208"/>
      <c r="C77" s="208"/>
      <c r="D77" s="208"/>
      <c r="E77" s="208"/>
      <c r="F77" s="208"/>
      <c r="G77" s="208"/>
      <c r="H77" s="208"/>
      <c r="I77" s="208"/>
      <c r="J77" s="208"/>
      <c r="K77" s="208"/>
      <c r="L77" s="208"/>
      <c r="M77" s="208"/>
      <c r="N77" s="208"/>
      <c r="O77" s="208"/>
      <c r="P77" s="208"/>
      <c r="Q77" s="211"/>
    </row>
    <row r="78" ht="12.75" customHeight="1" hidden="1">
      <c r="A78" s="207"/>
      <c r="B78" s="208"/>
      <c r="C78" s="208"/>
      <c r="D78" s="208"/>
      <c r="E78" s="208"/>
      <c r="F78" s="208"/>
      <c r="G78" s="208"/>
      <c r="H78" s="208"/>
      <c r="I78" s="208"/>
      <c r="J78" s="208"/>
      <c r="K78" s="208"/>
      <c r="L78" s="208"/>
      <c r="M78" s="208"/>
      <c r="N78" s="208"/>
      <c r="O78" s="208"/>
      <c r="P78" s="208"/>
      <c r="Q78" s="211"/>
    </row>
    <row r="79" ht="12.75" customHeight="1" hidden="1">
      <c r="A79" s="207"/>
      <c r="B79" s="208"/>
      <c r="C79" s="208"/>
      <c r="D79" s="208"/>
      <c r="E79" s="208"/>
      <c r="F79" s="208"/>
      <c r="G79" s="208"/>
      <c r="H79" s="208"/>
      <c r="I79" s="208"/>
      <c r="J79" s="208"/>
      <c r="K79" s="208"/>
      <c r="L79" s="208"/>
      <c r="M79" s="208"/>
      <c r="N79" s="208"/>
      <c r="O79" s="208"/>
      <c r="P79" s="208"/>
      <c r="Q79" s="211"/>
    </row>
    <row r="80" ht="12.75" customHeight="1" hidden="1">
      <c r="A80" s="207"/>
      <c r="B80" s="208"/>
      <c r="C80" s="208"/>
      <c r="D80" s="208"/>
      <c r="E80" s="208"/>
      <c r="F80" s="208"/>
      <c r="G80" s="208"/>
      <c r="H80" s="208"/>
      <c r="I80" s="208"/>
      <c r="J80" s="208"/>
      <c r="K80" s="208"/>
      <c r="L80" s="208"/>
      <c r="M80" s="208"/>
      <c r="N80" s="208"/>
      <c r="O80" s="208"/>
      <c r="P80" s="208"/>
      <c r="Q80" s="211"/>
    </row>
    <row r="81" ht="12.75" customHeight="1" hidden="1">
      <c r="A81" s="207"/>
      <c r="B81" s="208"/>
      <c r="C81" s="208"/>
      <c r="D81" s="208"/>
      <c r="E81" s="208"/>
      <c r="F81" s="208"/>
      <c r="G81" s="208"/>
      <c r="H81" s="208"/>
      <c r="I81" s="208"/>
      <c r="J81" s="208"/>
      <c r="K81" s="208"/>
      <c r="L81" s="208"/>
      <c r="M81" s="208"/>
      <c r="N81" s="208"/>
      <c r="O81" s="208"/>
      <c r="P81" s="208"/>
      <c r="Q81" s="211"/>
    </row>
    <row r="82" ht="12.75" customHeight="1" hidden="1">
      <c r="A82" s="207"/>
      <c r="B82" s="208"/>
      <c r="C82" s="208"/>
      <c r="D82" s="208"/>
      <c r="E82" s="208"/>
      <c r="F82" s="208"/>
      <c r="G82" s="208"/>
      <c r="H82" s="208"/>
      <c r="I82" s="208"/>
      <c r="J82" s="208"/>
      <c r="K82" s="208"/>
      <c r="L82" s="208"/>
      <c r="M82" s="208"/>
      <c r="N82" s="208"/>
      <c r="O82" s="208"/>
      <c r="P82" s="208"/>
      <c r="Q82" s="211"/>
    </row>
    <row r="83" ht="12.75" customHeight="1" hidden="1">
      <c r="A83" s="207"/>
      <c r="B83" s="208"/>
      <c r="C83" s="208"/>
      <c r="D83" s="208"/>
      <c r="E83" s="208"/>
      <c r="F83" s="208"/>
      <c r="G83" s="208"/>
      <c r="H83" s="208"/>
      <c r="I83" s="208"/>
      <c r="J83" s="208"/>
      <c r="K83" s="208"/>
      <c r="L83" s="208"/>
      <c r="M83" s="208"/>
      <c r="N83" s="208"/>
      <c r="O83" s="208"/>
      <c r="P83" s="208"/>
      <c r="Q83" s="211"/>
    </row>
    <row r="84" ht="12.75" customHeight="1" hidden="1">
      <c r="A84" s="207"/>
      <c r="B84" s="208"/>
      <c r="C84" s="208"/>
      <c r="D84" s="208"/>
      <c r="E84" s="208"/>
      <c r="F84" s="208"/>
      <c r="G84" s="208"/>
      <c r="H84" s="208"/>
      <c r="I84" s="208"/>
      <c r="J84" s="208"/>
      <c r="K84" s="208"/>
      <c r="L84" s="208"/>
      <c r="M84" s="208"/>
      <c r="N84" s="208"/>
      <c r="O84" s="208"/>
      <c r="P84" s="208"/>
      <c r="Q84" s="211"/>
    </row>
    <row r="85" ht="12.75" customHeight="1" hidden="1">
      <c r="A85" s="207"/>
      <c r="B85" s="208"/>
      <c r="C85" s="208"/>
      <c r="D85" s="208"/>
      <c r="E85" s="208"/>
      <c r="F85" s="208"/>
      <c r="G85" s="208"/>
      <c r="H85" s="208"/>
      <c r="I85" s="208"/>
      <c r="J85" s="208"/>
      <c r="K85" s="208"/>
      <c r="L85" s="208"/>
      <c r="M85" s="208"/>
      <c r="N85" s="208"/>
      <c r="O85" s="208"/>
      <c r="P85" s="208"/>
      <c r="Q85" s="211"/>
    </row>
    <row r="86" ht="12.75" customHeight="1" hidden="1">
      <c r="A86" s="207"/>
      <c r="B86" s="208"/>
      <c r="C86" s="208"/>
      <c r="D86" s="208"/>
      <c r="E86" s="208"/>
      <c r="F86" s="208"/>
      <c r="G86" s="208"/>
      <c r="H86" s="208"/>
      <c r="I86" s="208"/>
      <c r="J86" s="208"/>
      <c r="K86" s="208"/>
      <c r="L86" s="208"/>
      <c r="M86" s="208"/>
      <c r="N86" s="208"/>
      <c r="O86" s="208"/>
      <c r="P86" s="208"/>
      <c r="Q86" s="211"/>
    </row>
    <row r="87" ht="12.75" customHeight="1" hidden="1">
      <c r="A87" s="207"/>
      <c r="B87" s="208"/>
      <c r="C87" s="208"/>
      <c r="D87" s="208"/>
      <c r="E87" s="208"/>
      <c r="F87" s="208"/>
      <c r="G87" s="208"/>
      <c r="H87" s="208"/>
      <c r="I87" s="208"/>
      <c r="J87" s="208"/>
      <c r="K87" s="208"/>
      <c r="L87" s="208"/>
      <c r="M87" s="208"/>
      <c r="N87" s="208"/>
      <c r="O87" s="208"/>
      <c r="P87" s="208"/>
      <c r="Q87" s="211"/>
    </row>
    <row r="88" ht="12.75" customHeight="1" hidden="1">
      <c r="A88" s="207"/>
      <c r="B88" s="208"/>
      <c r="C88" s="208"/>
      <c r="D88" s="208"/>
      <c r="E88" s="208"/>
      <c r="F88" s="208"/>
      <c r="G88" s="208"/>
      <c r="H88" s="208"/>
      <c r="I88" s="208"/>
      <c r="J88" s="208"/>
      <c r="K88" s="208"/>
      <c r="L88" s="208"/>
      <c r="M88" s="208"/>
      <c r="N88" s="208"/>
      <c r="O88" s="208"/>
      <c r="P88" s="208"/>
      <c r="Q88" s="211"/>
    </row>
    <row r="89" ht="12.75" customHeight="1" hidden="1">
      <c r="A89" s="207"/>
      <c r="B89" s="208"/>
      <c r="C89" s="208"/>
      <c r="D89" s="208"/>
      <c r="E89" s="208"/>
      <c r="F89" s="208"/>
      <c r="G89" s="208"/>
      <c r="H89" s="208"/>
      <c r="I89" s="208"/>
      <c r="J89" s="208"/>
      <c r="K89" s="208"/>
      <c r="L89" s="208"/>
      <c r="M89" s="208"/>
      <c r="N89" s="208"/>
      <c r="O89" s="208"/>
      <c r="P89" s="208"/>
      <c r="Q89" s="211"/>
    </row>
    <row r="90" ht="12.75" customHeight="1" hidden="1">
      <c r="A90" s="207"/>
      <c r="B90" s="208"/>
      <c r="C90" s="208"/>
      <c r="D90" s="208"/>
      <c r="E90" s="208"/>
      <c r="F90" s="208"/>
      <c r="G90" s="208"/>
      <c r="H90" s="208"/>
      <c r="I90" s="208"/>
      <c r="J90" s="208"/>
      <c r="K90" s="208"/>
      <c r="L90" s="208"/>
      <c r="M90" s="208"/>
      <c r="N90" s="208"/>
      <c r="O90" s="208"/>
      <c r="P90" s="208"/>
      <c r="Q90" s="211"/>
    </row>
    <row r="91" ht="12.75" customHeight="1" hidden="1">
      <c r="A91" s="207"/>
      <c r="B91" s="208"/>
      <c r="C91" s="208"/>
      <c r="D91" s="208"/>
      <c r="E91" s="208"/>
      <c r="F91" s="208"/>
      <c r="G91" s="208"/>
      <c r="H91" s="208"/>
      <c r="I91" s="208"/>
      <c r="J91" s="208"/>
      <c r="K91" s="208"/>
      <c r="L91" s="208"/>
      <c r="M91" s="208"/>
      <c r="N91" s="208"/>
      <c r="O91" s="208"/>
      <c r="P91" s="208"/>
      <c r="Q91" s="211"/>
    </row>
    <row r="92" ht="12.75" customHeight="1" hidden="1">
      <c r="A92" s="207"/>
      <c r="B92" s="208"/>
      <c r="C92" s="208"/>
      <c r="D92" s="208"/>
      <c r="E92" s="208"/>
      <c r="F92" s="208"/>
      <c r="G92" s="208"/>
      <c r="H92" s="208"/>
      <c r="I92" s="208"/>
      <c r="J92" s="208"/>
      <c r="K92" s="208"/>
      <c r="L92" s="208"/>
      <c r="M92" s="208"/>
      <c r="N92" s="208"/>
      <c r="O92" s="208"/>
      <c r="P92" s="208"/>
      <c r="Q92" s="211"/>
    </row>
    <row r="93" ht="12.75" customHeight="1" hidden="1">
      <c r="A93" s="207"/>
      <c r="B93" s="208"/>
      <c r="C93" s="208"/>
      <c r="D93" s="208"/>
      <c r="E93" s="208"/>
      <c r="F93" s="208"/>
      <c r="G93" s="208"/>
      <c r="H93" s="208"/>
      <c r="I93" s="208"/>
      <c r="J93" s="208"/>
      <c r="K93" s="208"/>
      <c r="L93" s="208"/>
      <c r="M93" s="208"/>
      <c r="N93" s="208"/>
      <c r="O93" s="208"/>
      <c r="P93" s="208"/>
      <c r="Q93" s="211"/>
    </row>
    <row r="94" ht="12.75" customHeight="1" hidden="1">
      <c r="A94" s="207"/>
      <c r="B94" s="208"/>
      <c r="C94" s="208"/>
      <c r="D94" s="208"/>
      <c r="E94" s="208"/>
      <c r="F94" s="208"/>
      <c r="G94" s="208"/>
      <c r="H94" s="208"/>
      <c r="I94" s="208"/>
      <c r="J94" s="208"/>
      <c r="K94" s="208"/>
      <c r="L94" s="208"/>
      <c r="M94" s="208"/>
      <c r="N94" s="208"/>
      <c r="O94" s="208"/>
      <c r="P94" s="208"/>
      <c r="Q94" s="211"/>
    </row>
    <row r="95" ht="12.75" customHeight="1" hidden="1">
      <c r="A95" s="207"/>
      <c r="B95" s="208"/>
      <c r="C95" s="208"/>
      <c r="D95" s="208"/>
      <c r="E95" s="208"/>
      <c r="F95" s="208"/>
      <c r="G95" s="208"/>
      <c r="H95" s="208"/>
      <c r="I95" s="208"/>
      <c r="J95" s="208"/>
      <c r="K95" s="208"/>
      <c r="L95" s="208"/>
      <c r="M95" s="208"/>
      <c r="N95" s="208"/>
      <c r="O95" s="208"/>
      <c r="P95" s="208"/>
      <c r="Q95" s="211"/>
    </row>
    <row r="96" ht="12.75" customHeight="1" hidden="1">
      <c r="A96" s="207"/>
      <c r="B96" s="208"/>
      <c r="C96" s="208"/>
      <c r="D96" s="208"/>
      <c r="E96" s="208"/>
      <c r="F96" s="208"/>
      <c r="G96" s="208"/>
      <c r="H96" s="208"/>
      <c r="I96" s="208"/>
      <c r="J96" s="208"/>
      <c r="K96" s="208"/>
      <c r="L96" s="208"/>
      <c r="M96" s="208"/>
      <c r="N96" s="208"/>
      <c r="O96" s="208"/>
      <c r="P96" s="208"/>
      <c r="Q96" s="211"/>
    </row>
    <row r="97" ht="12.75" customHeight="1" hidden="1">
      <c r="A97" s="207"/>
      <c r="B97" s="208"/>
      <c r="C97" s="208"/>
      <c r="D97" s="208"/>
      <c r="E97" s="208"/>
      <c r="F97" s="208"/>
      <c r="G97" s="208"/>
      <c r="H97" s="208"/>
      <c r="I97" s="208"/>
      <c r="J97" s="208"/>
      <c r="K97" s="208"/>
      <c r="L97" s="208"/>
      <c r="M97" s="208"/>
      <c r="N97" s="208"/>
      <c r="O97" s="208"/>
      <c r="P97" s="208"/>
      <c r="Q97" s="211"/>
    </row>
    <row r="98" ht="12.75" customHeight="1" hidden="1">
      <c r="A98" s="207"/>
      <c r="B98" s="208"/>
      <c r="C98" s="208"/>
      <c r="D98" s="208"/>
      <c r="E98" s="208"/>
      <c r="F98" s="208"/>
      <c r="G98" s="208"/>
      <c r="H98" s="208"/>
      <c r="I98" s="208"/>
      <c r="J98" s="208"/>
      <c r="K98" s="208"/>
      <c r="L98" s="208"/>
      <c r="M98" s="208"/>
      <c r="N98" s="208"/>
      <c r="O98" s="208"/>
      <c r="P98" s="208"/>
      <c r="Q98" s="211"/>
    </row>
    <row r="99" ht="12.75" customHeight="1" hidden="1">
      <c r="A99" s="207"/>
      <c r="B99" s="208"/>
      <c r="C99" s="208"/>
      <c r="D99" s="208"/>
      <c r="E99" s="208"/>
      <c r="F99" s="208"/>
      <c r="G99" s="208"/>
      <c r="H99" s="208"/>
      <c r="I99" s="208"/>
      <c r="J99" s="208"/>
      <c r="K99" s="208"/>
      <c r="L99" s="208"/>
      <c r="M99" s="208"/>
      <c r="N99" s="208"/>
      <c r="O99" s="208"/>
      <c r="P99" s="208"/>
      <c r="Q99" s="211"/>
    </row>
    <row r="100" ht="12.75" customHeight="1" hidden="1">
      <c r="A100" s="207"/>
      <c r="B100" s="208"/>
      <c r="C100" s="208"/>
      <c r="D100" s="208"/>
      <c r="E100" s="208"/>
      <c r="F100" s="208"/>
      <c r="G100" s="208"/>
      <c r="H100" s="208"/>
      <c r="I100" s="208"/>
      <c r="J100" s="208"/>
      <c r="K100" s="208"/>
      <c r="L100" s="208"/>
      <c r="M100" s="208"/>
      <c r="N100" s="208"/>
      <c r="O100" s="208"/>
      <c r="P100" s="208"/>
      <c r="Q100" s="211"/>
    </row>
    <row r="101" ht="12.75" customHeight="1" hidden="1">
      <c r="A101" s="207"/>
      <c r="B101" s="208"/>
      <c r="C101" s="208"/>
      <c r="D101" s="208"/>
      <c r="E101" s="208"/>
      <c r="F101" s="208"/>
      <c r="G101" s="208"/>
      <c r="H101" s="208"/>
      <c r="I101" s="208"/>
      <c r="J101" s="208"/>
      <c r="K101" s="208"/>
      <c r="L101" s="208"/>
      <c r="M101" s="208"/>
      <c r="N101" s="208"/>
      <c r="O101" s="208"/>
      <c r="P101" s="208"/>
      <c r="Q101" s="211"/>
    </row>
    <row r="102" ht="12.75" customHeight="1" hidden="1">
      <c r="A102" s="207"/>
      <c r="B102" s="208"/>
      <c r="C102" s="208"/>
      <c r="D102" s="208"/>
      <c r="E102" s="208"/>
      <c r="F102" s="208"/>
      <c r="G102" s="208"/>
      <c r="H102" s="208"/>
      <c r="I102" s="208"/>
      <c r="J102" s="208"/>
      <c r="K102" s="208"/>
      <c r="L102" s="208"/>
      <c r="M102" s="208"/>
      <c r="N102" s="208"/>
      <c r="O102" s="208"/>
      <c r="P102" s="208"/>
      <c r="Q102" s="211"/>
    </row>
    <row r="103" ht="12.75" customHeight="1" hidden="1">
      <c r="A103" s="207"/>
      <c r="B103" s="208"/>
      <c r="C103" s="208"/>
      <c r="D103" s="208"/>
      <c r="E103" s="208"/>
      <c r="F103" s="208"/>
      <c r="G103" s="208"/>
      <c r="H103" s="208"/>
      <c r="I103" s="208"/>
      <c r="J103" s="208"/>
      <c r="K103" s="208"/>
      <c r="L103" s="208"/>
      <c r="M103" s="208"/>
      <c r="N103" s="208"/>
      <c r="O103" s="208"/>
      <c r="P103" s="208"/>
      <c r="Q103" s="211"/>
    </row>
    <row r="104" ht="12.75" customHeight="1" hidden="1">
      <c r="A104" s="207"/>
      <c r="B104" s="208"/>
      <c r="C104" s="208"/>
      <c r="D104" s="208"/>
      <c r="E104" s="208"/>
      <c r="F104" s="208"/>
      <c r="G104" s="208"/>
      <c r="H104" s="208"/>
      <c r="I104" s="208"/>
      <c r="J104" s="208"/>
      <c r="K104" s="208"/>
      <c r="L104" s="208"/>
      <c r="M104" s="208"/>
      <c r="N104" s="208"/>
      <c r="O104" s="208"/>
      <c r="P104" s="208"/>
      <c r="Q104" s="211"/>
    </row>
    <row r="105" ht="12.75" customHeight="1" hidden="1">
      <c r="A105" s="207"/>
      <c r="B105" s="208"/>
      <c r="C105" s="208"/>
      <c r="D105" s="208"/>
      <c r="E105" s="208"/>
      <c r="F105" s="208"/>
      <c r="G105" s="208"/>
      <c r="H105" s="208"/>
      <c r="I105" s="208"/>
      <c r="J105" s="208"/>
      <c r="K105" s="208"/>
      <c r="L105" s="208"/>
      <c r="M105" s="208"/>
      <c r="N105" s="208"/>
      <c r="O105" s="208"/>
      <c r="P105" s="208"/>
      <c r="Q105" s="211"/>
    </row>
    <row r="106" ht="12.75" customHeight="1" hidden="1">
      <c r="A106" s="207"/>
      <c r="B106" s="208"/>
      <c r="C106" s="208"/>
      <c r="D106" s="208"/>
      <c r="E106" s="208"/>
      <c r="F106" s="208"/>
      <c r="G106" s="208"/>
      <c r="H106" s="208"/>
      <c r="I106" s="208"/>
      <c r="J106" s="208"/>
      <c r="K106" s="208"/>
      <c r="L106" s="208"/>
      <c r="M106" s="208"/>
      <c r="N106" s="208"/>
      <c r="O106" s="208"/>
      <c r="P106" s="208"/>
      <c r="Q106" s="211"/>
    </row>
    <row r="107" ht="12.75" customHeight="1" hidden="1">
      <c r="A107" s="207"/>
      <c r="B107" s="208"/>
      <c r="C107" s="208"/>
      <c r="D107" s="208"/>
      <c r="E107" s="208"/>
      <c r="F107" s="208"/>
      <c r="G107" s="208"/>
      <c r="H107" s="208"/>
      <c r="I107" s="208"/>
      <c r="J107" s="208"/>
      <c r="K107" s="208"/>
      <c r="L107" s="208"/>
      <c r="M107" s="208"/>
      <c r="N107" s="208"/>
      <c r="O107" s="208"/>
      <c r="P107" s="208"/>
      <c r="Q107" s="211"/>
    </row>
    <row r="108" ht="12.75" customHeight="1" hidden="1">
      <c r="A108" s="207"/>
      <c r="B108" s="208"/>
      <c r="C108" s="208"/>
      <c r="D108" s="208"/>
      <c r="E108" s="208"/>
      <c r="F108" s="208"/>
      <c r="G108" s="208"/>
      <c r="H108" s="208"/>
      <c r="I108" s="208"/>
      <c r="J108" s="208"/>
      <c r="K108" s="208"/>
      <c r="L108" s="208"/>
      <c r="M108" s="208"/>
      <c r="N108" s="208"/>
      <c r="O108" s="208"/>
      <c r="P108" s="208"/>
      <c r="Q108" s="211"/>
    </row>
    <row r="109" ht="12.75" customHeight="1" hidden="1">
      <c r="A109" s="207"/>
      <c r="B109" s="208"/>
      <c r="C109" s="208"/>
      <c r="D109" s="208"/>
      <c r="E109" s="208"/>
      <c r="F109" s="208"/>
      <c r="G109" s="208"/>
      <c r="H109" s="208"/>
      <c r="I109" s="208"/>
      <c r="J109" s="208"/>
      <c r="K109" s="208"/>
      <c r="L109" s="208"/>
      <c r="M109" s="208"/>
      <c r="N109" s="208"/>
      <c r="O109" s="208"/>
      <c r="P109" s="208"/>
      <c r="Q109" s="211"/>
    </row>
    <row r="110" ht="12.75" customHeight="1" hidden="1">
      <c r="A110" s="207"/>
      <c r="B110" s="208"/>
      <c r="C110" s="208"/>
      <c r="D110" s="208"/>
      <c r="E110" s="208"/>
      <c r="F110" s="208"/>
      <c r="G110" s="208"/>
      <c r="H110" s="208"/>
      <c r="I110" s="208"/>
      <c r="J110" s="208"/>
      <c r="K110" s="208"/>
      <c r="L110" s="208"/>
      <c r="M110" s="208"/>
      <c r="N110" s="208"/>
      <c r="O110" s="208"/>
      <c r="P110" s="208"/>
      <c r="Q110" s="211"/>
    </row>
    <row r="111" ht="12.75" customHeight="1" hidden="1">
      <c r="A111" s="207"/>
      <c r="B111" s="208"/>
      <c r="C111" s="208"/>
      <c r="D111" s="208"/>
      <c r="E111" s="208"/>
      <c r="F111" s="208"/>
      <c r="G111" s="208"/>
      <c r="H111" s="208"/>
      <c r="I111" s="208"/>
      <c r="J111" s="208"/>
      <c r="K111" s="208"/>
      <c r="L111" s="208"/>
      <c r="M111" s="208"/>
      <c r="N111" s="208"/>
      <c r="O111" s="208"/>
      <c r="P111" s="208"/>
      <c r="Q111" s="211"/>
    </row>
    <row r="112" ht="12.75" customHeight="1" hidden="1">
      <c r="A112" s="207"/>
      <c r="B112" s="208"/>
      <c r="C112" s="208"/>
      <c r="D112" s="208"/>
      <c r="E112" s="208"/>
      <c r="F112" s="208"/>
      <c r="G112" s="208"/>
      <c r="H112" s="208"/>
      <c r="I112" s="208"/>
      <c r="J112" s="208"/>
      <c r="K112" s="208"/>
      <c r="L112" s="208"/>
      <c r="M112" s="208"/>
      <c r="N112" s="208"/>
      <c r="O112" s="208"/>
      <c r="P112" s="208"/>
      <c r="Q112" s="211"/>
    </row>
    <row r="113" ht="12.75" customHeight="1" hidden="1">
      <c r="A113" s="207"/>
      <c r="B113" s="208"/>
      <c r="C113" s="208"/>
      <c r="D113" s="208"/>
      <c r="E113" s="208"/>
      <c r="F113" s="208"/>
      <c r="G113" s="208"/>
      <c r="H113" s="208"/>
      <c r="I113" s="208"/>
      <c r="J113" s="208"/>
      <c r="K113" s="208"/>
      <c r="L113" s="208"/>
      <c r="M113" s="208"/>
      <c r="N113" s="208"/>
      <c r="O113" s="208"/>
      <c r="P113" s="208"/>
      <c r="Q113" s="211"/>
    </row>
    <row r="114" ht="12.75" customHeight="1" hidden="1">
      <c r="A114" s="207"/>
      <c r="B114" s="208"/>
      <c r="C114" s="208"/>
      <c r="D114" s="208"/>
      <c r="E114" s="208"/>
      <c r="F114" s="208"/>
      <c r="G114" s="208"/>
      <c r="H114" s="208"/>
      <c r="I114" s="208"/>
      <c r="J114" s="208"/>
      <c r="K114" s="208"/>
      <c r="L114" s="208"/>
      <c r="M114" s="208"/>
      <c r="N114" s="208"/>
      <c r="O114" s="208"/>
      <c r="P114" s="208"/>
      <c r="Q114" s="211"/>
    </row>
    <row r="115" ht="12.75" customHeight="1" hidden="1">
      <c r="A115" s="207"/>
      <c r="B115" s="208"/>
      <c r="C115" s="208"/>
      <c r="D115" s="208"/>
      <c r="E115" s="208"/>
      <c r="F115" s="208"/>
      <c r="G115" s="208"/>
      <c r="H115" s="208"/>
      <c r="I115" s="208"/>
      <c r="J115" s="208"/>
      <c r="K115" s="208"/>
      <c r="L115" s="208"/>
      <c r="M115" s="208"/>
      <c r="N115" s="208"/>
      <c r="O115" s="208"/>
      <c r="P115" s="208"/>
      <c r="Q115" s="211"/>
    </row>
    <row r="116" ht="12.75" customHeight="1" hidden="1">
      <c r="A116" s="207"/>
      <c r="B116" s="208"/>
      <c r="C116" s="208"/>
      <c r="D116" s="208"/>
      <c r="E116" s="208"/>
      <c r="F116" s="208"/>
      <c r="G116" s="208"/>
      <c r="H116" s="208"/>
      <c r="I116" s="208"/>
      <c r="J116" s="208"/>
      <c r="K116" s="208"/>
      <c r="L116" s="208"/>
      <c r="M116" s="208"/>
      <c r="N116" s="208"/>
      <c r="O116" s="208"/>
      <c r="P116" s="208"/>
      <c r="Q116" s="211"/>
    </row>
    <row r="117" ht="12.75" customHeight="1" hidden="1">
      <c r="A117" s="207"/>
      <c r="B117" s="208"/>
      <c r="C117" s="208"/>
      <c r="D117" s="208"/>
      <c r="E117" s="208"/>
      <c r="F117" s="208"/>
      <c r="G117" s="208"/>
      <c r="H117" s="208"/>
      <c r="I117" s="208"/>
      <c r="J117" s="208"/>
      <c r="K117" s="208"/>
      <c r="L117" s="208"/>
      <c r="M117" s="208"/>
      <c r="N117" s="208"/>
      <c r="O117" s="208"/>
      <c r="P117" s="208"/>
      <c r="Q117" s="211"/>
    </row>
    <row r="118" ht="12.75" customHeight="1" hidden="1">
      <c r="A118" s="207"/>
      <c r="B118" s="208"/>
      <c r="C118" s="208"/>
      <c r="D118" s="208"/>
      <c r="E118" s="208"/>
      <c r="F118" s="208"/>
      <c r="G118" s="208"/>
      <c r="H118" s="208"/>
      <c r="I118" s="208"/>
      <c r="J118" s="208"/>
      <c r="K118" s="208"/>
      <c r="L118" s="208"/>
      <c r="M118" s="208"/>
      <c r="N118" s="208"/>
      <c r="O118" s="208"/>
      <c r="P118" s="208"/>
      <c r="Q118" s="211"/>
    </row>
    <row r="119" ht="12.75" customHeight="1" hidden="1">
      <c r="A119" s="207"/>
      <c r="B119" s="208"/>
      <c r="C119" s="208"/>
      <c r="D119" s="208"/>
      <c r="E119" s="208"/>
      <c r="F119" s="208"/>
      <c r="G119" s="208"/>
      <c r="H119" s="208"/>
      <c r="I119" s="208"/>
      <c r="J119" s="208"/>
      <c r="K119" s="208"/>
      <c r="L119" s="208"/>
      <c r="M119" s="208"/>
      <c r="N119" s="208"/>
      <c r="O119" s="208"/>
      <c r="P119" s="208"/>
      <c r="Q119" s="211"/>
    </row>
    <row r="120" ht="12.75" customHeight="1" hidden="1">
      <c r="A120" s="207"/>
      <c r="B120" s="208"/>
      <c r="C120" s="208"/>
      <c r="D120" s="208"/>
      <c r="E120" s="208"/>
      <c r="F120" s="208"/>
      <c r="G120" s="208"/>
      <c r="H120" s="208"/>
      <c r="I120" s="208"/>
      <c r="J120" s="208"/>
      <c r="K120" s="208"/>
      <c r="L120" s="208"/>
      <c r="M120" s="208"/>
      <c r="N120" s="208"/>
      <c r="O120" s="208"/>
      <c r="P120" s="208"/>
      <c r="Q120" s="211"/>
    </row>
    <row r="121" ht="12.75" customHeight="1" hidden="1">
      <c r="A121" s="207"/>
      <c r="B121" s="208"/>
      <c r="C121" s="208"/>
      <c r="D121" s="208"/>
      <c r="E121" s="208"/>
      <c r="F121" s="208"/>
      <c r="G121" s="208"/>
      <c r="H121" s="208"/>
      <c r="I121" s="208"/>
      <c r="J121" s="208"/>
      <c r="K121" s="208"/>
      <c r="L121" s="208"/>
      <c r="M121" s="208"/>
      <c r="N121" s="208"/>
      <c r="O121" s="208"/>
      <c r="P121" s="208"/>
      <c r="Q121" s="211"/>
    </row>
    <row r="122" ht="12.75" customHeight="1" hidden="1">
      <c r="A122" s="207"/>
      <c r="B122" s="208"/>
      <c r="C122" s="208"/>
      <c r="D122" s="208"/>
      <c r="E122" s="208"/>
      <c r="F122" s="208"/>
      <c r="G122" s="208"/>
      <c r="H122" s="208"/>
      <c r="I122" s="208"/>
      <c r="J122" s="208"/>
      <c r="K122" s="208"/>
      <c r="L122" s="208"/>
      <c r="M122" s="208"/>
      <c r="N122" s="208"/>
      <c r="O122" s="208"/>
      <c r="P122" s="208"/>
      <c r="Q122" s="211"/>
    </row>
    <row r="123" ht="12.75" customHeight="1" hidden="1">
      <c r="A123" s="207"/>
      <c r="B123" s="208"/>
      <c r="C123" s="208"/>
      <c r="D123" s="208"/>
      <c r="E123" s="208"/>
      <c r="F123" s="208"/>
      <c r="G123" s="208"/>
      <c r="H123" s="208"/>
      <c r="I123" s="208"/>
      <c r="J123" s="208"/>
      <c r="K123" s="208"/>
      <c r="L123" s="208"/>
      <c r="M123" s="208"/>
      <c r="N123" s="208"/>
      <c r="O123" s="208"/>
      <c r="P123" s="208"/>
      <c r="Q123" s="211"/>
    </row>
    <row r="124" ht="12.75" customHeight="1" hidden="1">
      <c r="A124" s="207"/>
      <c r="B124" s="208"/>
      <c r="C124" s="208"/>
      <c r="D124" s="208"/>
      <c r="E124" s="208"/>
      <c r="F124" s="208"/>
      <c r="G124" s="208"/>
      <c r="H124" s="208"/>
      <c r="I124" s="208"/>
      <c r="J124" s="208"/>
      <c r="K124" s="208"/>
      <c r="L124" s="208"/>
      <c r="M124" s="208"/>
      <c r="N124" s="208"/>
      <c r="O124" s="208"/>
      <c r="P124" s="208"/>
      <c r="Q124" s="211"/>
    </row>
    <row r="125" ht="12.75" customHeight="1" hidden="1">
      <c r="A125" s="207"/>
      <c r="B125" s="208"/>
      <c r="C125" s="208"/>
      <c r="D125" s="208"/>
      <c r="E125" s="208"/>
      <c r="F125" s="208"/>
      <c r="G125" s="208"/>
      <c r="H125" s="208"/>
      <c r="I125" s="208"/>
      <c r="J125" s="208"/>
      <c r="K125" s="208"/>
      <c r="L125" s="208"/>
      <c r="M125" s="208"/>
      <c r="N125" s="208"/>
      <c r="O125" s="208"/>
      <c r="P125" s="208"/>
      <c r="Q125" s="211"/>
    </row>
    <row r="126" ht="12.75" customHeight="1" hidden="1">
      <c r="A126" s="207"/>
      <c r="B126" s="208"/>
      <c r="C126" s="208"/>
      <c r="D126" s="208"/>
      <c r="E126" s="208"/>
      <c r="F126" s="208"/>
      <c r="G126" s="208"/>
      <c r="H126" s="208"/>
      <c r="I126" s="208"/>
      <c r="J126" s="208"/>
      <c r="K126" s="208"/>
      <c r="L126" s="208"/>
      <c r="M126" s="208"/>
      <c r="N126" s="208"/>
      <c r="O126" s="208"/>
      <c r="P126" s="208"/>
      <c r="Q126" s="211"/>
    </row>
    <row r="127" ht="12.75" customHeight="1" hidden="1">
      <c r="A127" s="207"/>
      <c r="B127" s="208"/>
      <c r="C127" s="208"/>
      <c r="D127" s="208"/>
      <c r="E127" s="208"/>
      <c r="F127" s="208"/>
      <c r="G127" s="208"/>
      <c r="H127" s="208"/>
      <c r="I127" s="208"/>
      <c r="J127" s="208"/>
      <c r="K127" s="208"/>
      <c r="L127" s="208"/>
      <c r="M127" s="208"/>
      <c r="N127" s="208"/>
      <c r="O127" s="208"/>
      <c r="P127" s="208"/>
      <c r="Q127" s="211"/>
    </row>
    <row r="128" ht="12.75" customHeight="1" hidden="1">
      <c r="A128" s="207"/>
      <c r="B128" s="208"/>
      <c r="C128" s="208"/>
      <c r="D128" s="208"/>
      <c r="E128" s="208"/>
      <c r="F128" s="208"/>
      <c r="G128" s="208"/>
      <c r="H128" s="208"/>
      <c r="I128" s="208"/>
      <c r="J128" s="208"/>
      <c r="K128" s="208"/>
      <c r="L128" s="208"/>
      <c r="M128" s="208"/>
      <c r="N128" s="208"/>
      <c r="O128" s="208"/>
      <c r="P128" s="208"/>
      <c r="Q128" s="211"/>
    </row>
    <row r="129" ht="12.75" customHeight="1" hidden="1">
      <c r="A129" s="207"/>
      <c r="B129" s="208"/>
      <c r="C129" s="208"/>
      <c r="D129" s="208"/>
      <c r="E129" s="208"/>
      <c r="F129" s="208"/>
      <c r="G129" s="208"/>
      <c r="H129" s="208"/>
      <c r="I129" s="208"/>
      <c r="J129" s="208"/>
      <c r="K129" s="208"/>
      <c r="L129" s="208"/>
      <c r="M129" s="208"/>
      <c r="N129" s="208"/>
      <c r="O129" s="208"/>
      <c r="P129" s="208"/>
      <c r="Q129" s="211"/>
    </row>
    <row r="130" ht="12.75" customHeight="1" hidden="1">
      <c r="A130" s="207"/>
      <c r="B130" s="208"/>
      <c r="C130" s="208"/>
      <c r="D130" s="208"/>
      <c r="E130" s="208"/>
      <c r="F130" s="208"/>
      <c r="G130" s="208"/>
      <c r="H130" s="208"/>
      <c r="I130" s="208"/>
      <c r="J130" s="208"/>
      <c r="K130" s="208"/>
      <c r="L130" s="208"/>
      <c r="M130" s="208"/>
      <c r="N130" s="208"/>
      <c r="O130" s="208"/>
      <c r="P130" s="208"/>
      <c r="Q130" s="211"/>
    </row>
    <row r="131" ht="12.75" customHeight="1" hidden="1">
      <c r="A131" s="207"/>
      <c r="B131" s="208"/>
      <c r="C131" s="208"/>
      <c r="D131" s="208"/>
      <c r="E131" s="208"/>
      <c r="F131" s="208"/>
      <c r="G131" s="208"/>
      <c r="H131" s="208"/>
      <c r="I131" s="208"/>
      <c r="J131" s="208"/>
      <c r="K131" s="208"/>
      <c r="L131" s="208"/>
      <c r="M131" s="208"/>
      <c r="N131" s="208"/>
      <c r="O131" s="208"/>
      <c r="P131" s="208"/>
      <c r="Q131" s="211"/>
    </row>
    <row r="132" ht="12.75" customHeight="1" hidden="1">
      <c r="A132" s="207"/>
      <c r="B132" s="208"/>
      <c r="C132" s="208"/>
      <c r="D132" s="208"/>
      <c r="E132" s="208"/>
      <c r="F132" s="208"/>
      <c r="G132" s="208"/>
      <c r="H132" s="208"/>
      <c r="I132" s="208"/>
      <c r="J132" s="208"/>
      <c r="K132" s="208"/>
      <c r="L132" s="208"/>
      <c r="M132" s="208"/>
      <c r="N132" s="208"/>
      <c r="O132" s="208"/>
      <c r="P132" s="208"/>
      <c r="Q132" s="211"/>
    </row>
    <row r="133" ht="12.75" customHeight="1" hidden="1">
      <c r="A133" s="207"/>
      <c r="B133" s="208"/>
      <c r="C133" s="208"/>
      <c r="D133" s="208"/>
      <c r="E133" s="208"/>
      <c r="F133" s="208"/>
      <c r="G133" s="208"/>
      <c r="H133" s="208"/>
      <c r="I133" s="208"/>
      <c r="J133" s="208"/>
      <c r="K133" s="208"/>
      <c r="L133" s="208"/>
      <c r="M133" s="208"/>
      <c r="N133" s="208"/>
      <c r="O133" s="208"/>
      <c r="P133" s="208"/>
      <c r="Q133" s="211"/>
    </row>
    <row r="134" ht="12.75" customHeight="1" hidden="1">
      <c r="A134" s="207"/>
      <c r="B134" s="208"/>
      <c r="C134" s="208"/>
      <c r="D134" s="208"/>
      <c r="E134" s="208"/>
      <c r="F134" s="208"/>
      <c r="G134" s="208"/>
      <c r="H134" s="208"/>
      <c r="I134" s="208"/>
      <c r="J134" s="208"/>
      <c r="K134" s="208"/>
      <c r="L134" s="208"/>
      <c r="M134" s="208"/>
      <c r="N134" s="208"/>
      <c r="O134" s="208"/>
      <c r="P134" s="208"/>
      <c r="Q134" s="211"/>
    </row>
    <row r="135" ht="12.75" customHeight="1" hidden="1">
      <c r="A135" s="207"/>
      <c r="B135" s="208"/>
      <c r="C135" s="208"/>
      <c r="D135" s="208"/>
      <c r="E135" s="208"/>
      <c r="F135" s="208"/>
      <c r="G135" s="208"/>
      <c r="H135" s="208"/>
      <c r="I135" s="208"/>
      <c r="J135" s="208"/>
      <c r="K135" s="208"/>
      <c r="L135" s="208"/>
      <c r="M135" s="208"/>
      <c r="N135" s="208"/>
      <c r="O135" s="208"/>
      <c r="P135" s="208"/>
      <c r="Q135" s="211"/>
    </row>
    <row r="136" ht="12.75" customHeight="1" hidden="1">
      <c r="A136" s="207"/>
      <c r="B136" s="208"/>
      <c r="C136" s="208"/>
      <c r="D136" s="208"/>
      <c r="E136" s="208"/>
      <c r="F136" s="208"/>
      <c r="G136" s="208"/>
      <c r="H136" s="208"/>
      <c r="I136" s="208"/>
      <c r="J136" s="208"/>
      <c r="K136" s="208"/>
      <c r="L136" s="208"/>
      <c r="M136" s="208"/>
      <c r="N136" s="208"/>
      <c r="O136" s="208"/>
      <c r="P136" s="208"/>
      <c r="Q136" s="211"/>
    </row>
    <row r="137" ht="12.75" customHeight="1" hidden="1">
      <c r="A137" s="207"/>
      <c r="B137" s="208"/>
      <c r="C137" s="208"/>
      <c r="D137" s="208"/>
      <c r="E137" s="208"/>
      <c r="F137" s="208"/>
      <c r="G137" s="208"/>
      <c r="H137" s="208"/>
      <c r="I137" s="208"/>
      <c r="J137" s="208"/>
      <c r="K137" s="208"/>
      <c r="L137" s="208"/>
      <c r="M137" s="208"/>
      <c r="N137" s="208"/>
      <c r="O137" s="208"/>
      <c r="P137" s="208"/>
      <c r="Q137" s="211"/>
    </row>
    <row r="138" ht="12.75" customHeight="1" hidden="1">
      <c r="A138" s="207"/>
      <c r="B138" s="208"/>
      <c r="C138" s="208"/>
      <c r="D138" s="208"/>
      <c r="E138" s="208"/>
      <c r="F138" s="208"/>
      <c r="G138" s="208"/>
      <c r="H138" s="208"/>
      <c r="I138" s="208"/>
      <c r="J138" s="208"/>
      <c r="K138" s="208"/>
      <c r="L138" s="208"/>
      <c r="M138" s="208"/>
      <c r="N138" s="208"/>
      <c r="O138" s="208"/>
      <c r="P138" s="208"/>
      <c r="Q138" s="211"/>
    </row>
    <row r="139" ht="12.75" customHeight="1" hidden="1">
      <c r="A139" s="207"/>
      <c r="B139" s="208"/>
      <c r="C139" s="208"/>
      <c r="D139" s="208"/>
      <c r="E139" s="208"/>
      <c r="F139" s="208"/>
      <c r="G139" s="208"/>
      <c r="H139" s="208"/>
      <c r="I139" s="208"/>
      <c r="J139" s="208"/>
      <c r="K139" s="208"/>
      <c r="L139" s="208"/>
      <c r="M139" s="208"/>
      <c r="N139" s="208"/>
      <c r="O139" s="208"/>
      <c r="P139" s="208"/>
      <c r="Q139" s="211"/>
    </row>
    <row r="140" ht="12.75" customHeight="1" hidden="1">
      <c r="A140" s="207"/>
      <c r="B140" s="208"/>
      <c r="C140" s="208"/>
      <c r="D140" s="208"/>
      <c r="E140" s="208"/>
      <c r="F140" s="208"/>
      <c r="G140" s="208"/>
      <c r="H140" s="208"/>
      <c r="I140" s="208"/>
      <c r="J140" s="208"/>
      <c r="K140" s="208"/>
      <c r="L140" s="208"/>
      <c r="M140" s="208"/>
      <c r="N140" s="208"/>
      <c r="O140" s="208"/>
      <c r="P140" s="208"/>
      <c r="Q140" s="211"/>
    </row>
    <row r="141" ht="12.75" customHeight="1" hidden="1">
      <c r="A141" s="207"/>
      <c r="B141" s="208"/>
      <c r="C141" s="208"/>
      <c r="D141" s="208"/>
      <c r="E141" s="208"/>
      <c r="F141" s="208"/>
      <c r="G141" s="208"/>
      <c r="H141" s="208"/>
      <c r="I141" s="208"/>
      <c r="J141" s="208"/>
      <c r="K141" s="208"/>
      <c r="L141" s="208"/>
      <c r="M141" s="208"/>
      <c r="N141" s="208"/>
      <c r="O141" s="208"/>
      <c r="P141" s="208"/>
      <c r="Q141" s="211"/>
    </row>
    <row r="142" ht="12.75" customHeight="1" hidden="1">
      <c r="A142" s="207"/>
      <c r="B142" s="208"/>
      <c r="C142" s="208"/>
      <c r="D142" s="208"/>
      <c r="E142" s="208"/>
      <c r="F142" s="208"/>
      <c r="G142" s="208"/>
      <c r="H142" s="208"/>
      <c r="I142" s="208"/>
      <c r="J142" s="208"/>
      <c r="K142" s="208"/>
      <c r="L142" s="208"/>
      <c r="M142" s="208"/>
      <c r="N142" s="208"/>
      <c r="O142" s="208"/>
      <c r="P142" s="208"/>
      <c r="Q142" s="211"/>
    </row>
    <row r="143" ht="12.75" customHeight="1" hidden="1">
      <c r="A143" s="207"/>
      <c r="B143" s="208"/>
      <c r="C143" s="208"/>
      <c r="D143" s="208"/>
      <c r="E143" s="208"/>
      <c r="F143" s="208"/>
      <c r="G143" s="208"/>
      <c r="H143" s="208"/>
      <c r="I143" s="208"/>
      <c r="J143" s="208"/>
      <c r="K143" s="208"/>
      <c r="L143" s="208"/>
      <c r="M143" s="208"/>
      <c r="N143" s="208"/>
      <c r="O143" s="208"/>
      <c r="P143" s="208"/>
      <c r="Q143" s="211"/>
    </row>
    <row r="144" ht="12.75" customHeight="1" hidden="1">
      <c r="A144" s="207"/>
      <c r="B144" s="208"/>
      <c r="C144" s="208"/>
      <c r="D144" s="208"/>
      <c r="E144" s="208"/>
      <c r="F144" s="208"/>
      <c r="G144" s="208"/>
      <c r="H144" s="208"/>
      <c r="I144" s="208"/>
      <c r="J144" s="208"/>
      <c r="K144" s="208"/>
      <c r="L144" s="208"/>
      <c r="M144" s="208"/>
      <c r="N144" s="208"/>
      <c r="O144" s="208"/>
      <c r="P144" s="208"/>
      <c r="Q144" s="211"/>
    </row>
    <row r="145" ht="12.75" customHeight="1" hidden="1">
      <c r="A145" s="207"/>
      <c r="B145" s="208"/>
      <c r="C145" s="208"/>
      <c r="D145" s="208"/>
      <c r="E145" s="208"/>
      <c r="F145" s="208"/>
      <c r="G145" s="208"/>
      <c r="H145" s="208"/>
      <c r="I145" s="208"/>
      <c r="J145" s="208"/>
      <c r="K145" s="208"/>
      <c r="L145" s="208"/>
      <c r="M145" s="208"/>
      <c r="N145" s="208"/>
      <c r="O145" s="208"/>
      <c r="P145" s="208"/>
      <c r="Q145" s="211"/>
    </row>
    <row r="146" ht="12.75" customHeight="1" hidden="1">
      <c r="A146" s="207"/>
      <c r="B146" s="208"/>
      <c r="C146" s="208"/>
      <c r="D146" s="208"/>
      <c r="E146" s="208"/>
      <c r="F146" s="208"/>
      <c r="G146" s="208"/>
      <c r="H146" s="208"/>
      <c r="I146" s="208"/>
      <c r="J146" s="208"/>
      <c r="K146" s="208"/>
      <c r="L146" s="208"/>
      <c r="M146" s="208"/>
      <c r="N146" s="208"/>
      <c r="O146" s="208"/>
      <c r="P146" s="208"/>
      <c r="Q146" s="211"/>
    </row>
    <row r="147" ht="12.75" customHeight="1" hidden="1">
      <c r="A147" s="207"/>
      <c r="B147" s="208"/>
      <c r="C147" s="208"/>
      <c r="D147" s="208"/>
      <c r="E147" s="208"/>
      <c r="F147" s="208"/>
      <c r="G147" s="208"/>
      <c r="H147" s="208"/>
      <c r="I147" s="208"/>
      <c r="J147" s="208"/>
      <c r="K147" s="208"/>
      <c r="L147" s="208"/>
      <c r="M147" s="208"/>
      <c r="N147" s="208"/>
      <c r="O147" s="208"/>
      <c r="P147" s="208"/>
      <c r="Q147" s="211"/>
    </row>
    <row r="148" ht="12.75" customHeight="1" hidden="1">
      <c r="A148" s="207"/>
      <c r="B148" s="208"/>
      <c r="C148" s="208"/>
      <c r="D148" s="208"/>
      <c r="E148" s="208"/>
      <c r="F148" s="208"/>
      <c r="G148" s="208"/>
      <c r="H148" s="208"/>
      <c r="I148" s="208"/>
      <c r="J148" s="208"/>
      <c r="K148" s="208"/>
      <c r="L148" s="208"/>
      <c r="M148" s="208"/>
      <c r="N148" s="208"/>
      <c r="O148" s="208"/>
      <c r="P148" s="208"/>
      <c r="Q148" s="211"/>
    </row>
    <row r="149" ht="12.75" customHeight="1" hidden="1">
      <c r="A149" s="207"/>
      <c r="B149" s="208"/>
      <c r="C149" s="208"/>
      <c r="D149" s="208"/>
      <c r="E149" s="208"/>
      <c r="F149" s="208"/>
      <c r="G149" s="208"/>
      <c r="H149" s="208"/>
      <c r="I149" s="208"/>
      <c r="J149" s="208"/>
      <c r="K149" s="208"/>
      <c r="L149" s="208"/>
      <c r="M149" s="208"/>
      <c r="N149" s="208"/>
      <c r="O149" s="208"/>
      <c r="P149" s="208"/>
      <c r="Q149" s="211"/>
    </row>
    <row r="150" ht="12.75" customHeight="1" hidden="1">
      <c r="A150" s="207"/>
      <c r="B150" s="208"/>
      <c r="C150" s="208"/>
      <c r="D150" s="208"/>
      <c r="E150" s="208"/>
      <c r="F150" s="208"/>
      <c r="G150" s="208"/>
      <c r="H150" s="208"/>
      <c r="I150" s="208"/>
      <c r="J150" s="208"/>
      <c r="K150" s="208"/>
      <c r="L150" s="208"/>
      <c r="M150" s="208"/>
      <c r="N150" s="208"/>
      <c r="O150" s="208"/>
      <c r="P150" s="208"/>
      <c r="Q150" s="211"/>
    </row>
    <row r="151" ht="12.75" customHeight="1" hidden="1">
      <c r="A151" s="207"/>
      <c r="B151" s="208"/>
      <c r="C151" s="208"/>
      <c r="D151" s="208"/>
      <c r="E151" s="208"/>
      <c r="F151" s="208"/>
      <c r="G151" s="208"/>
      <c r="H151" s="208"/>
      <c r="I151" s="208"/>
      <c r="J151" s="208"/>
      <c r="K151" s="208"/>
      <c r="L151" s="208"/>
      <c r="M151" s="208"/>
      <c r="N151" s="208"/>
      <c r="O151" s="208"/>
      <c r="P151" s="208"/>
      <c r="Q151" s="211"/>
    </row>
    <row r="152" ht="12.75" customHeight="1" hidden="1">
      <c r="A152" s="207"/>
      <c r="B152" s="208"/>
      <c r="C152" s="208"/>
      <c r="D152" s="208"/>
      <c r="E152" s="208"/>
      <c r="F152" s="208"/>
      <c r="G152" s="208"/>
      <c r="H152" s="208"/>
      <c r="I152" s="208"/>
      <c r="J152" s="208"/>
      <c r="K152" s="208"/>
      <c r="L152" s="208"/>
      <c r="M152" s="208"/>
      <c r="N152" s="208"/>
      <c r="O152" s="208"/>
      <c r="P152" s="208"/>
      <c r="Q152" s="211"/>
    </row>
    <row r="153" ht="12.75" customHeight="1" hidden="1">
      <c r="A153" s="207"/>
      <c r="B153" s="208"/>
      <c r="C153" s="208"/>
      <c r="D153" s="208"/>
      <c r="E153" s="208"/>
      <c r="F153" s="208"/>
      <c r="G153" s="208"/>
      <c r="H153" s="208"/>
      <c r="I153" s="208"/>
      <c r="J153" s="208"/>
      <c r="K153" s="208"/>
      <c r="L153" s="208"/>
      <c r="M153" s="208"/>
      <c r="N153" s="208"/>
      <c r="O153" s="208"/>
      <c r="P153" s="208"/>
      <c r="Q153" s="211"/>
    </row>
    <row r="154" ht="12.75" customHeight="1" hidden="1">
      <c r="A154" s="207"/>
      <c r="B154" s="208"/>
      <c r="C154" s="208"/>
      <c r="D154" s="208"/>
      <c r="E154" s="208"/>
      <c r="F154" s="208"/>
      <c r="G154" s="208"/>
      <c r="H154" s="208"/>
      <c r="I154" s="208"/>
      <c r="J154" s="208"/>
      <c r="K154" s="208"/>
      <c r="L154" s="208"/>
      <c r="M154" s="208"/>
      <c r="N154" s="208"/>
      <c r="O154" s="208"/>
      <c r="P154" s="208"/>
      <c r="Q154" s="211"/>
    </row>
    <row r="155" ht="12.75" customHeight="1" hidden="1">
      <c r="A155" s="207"/>
      <c r="B155" s="208"/>
      <c r="C155" s="208"/>
      <c r="D155" s="208"/>
      <c r="E155" s="208"/>
      <c r="F155" s="208"/>
      <c r="G155" s="208"/>
      <c r="H155" s="208"/>
      <c r="I155" s="208"/>
      <c r="J155" s="208"/>
      <c r="K155" s="208"/>
      <c r="L155" s="208"/>
      <c r="M155" s="208"/>
      <c r="N155" s="208"/>
      <c r="O155" s="208"/>
      <c r="P155" s="208"/>
      <c r="Q155" s="211"/>
    </row>
    <row r="156" ht="12.75" customHeight="1" hidden="1">
      <c r="A156" s="207"/>
      <c r="B156" s="208"/>
      <c r="C156" s="208"/>
      <c r="D156" s="208"/>
      <c r="E156" s="208"/>
      <c r="F156" s="208"/>
      <c r="G156" s="208"/>
      <c r="H156" s="208"/>
      <c r="I156" s="208"/>
      <c r="J156" s="208"/>
      <c r="K156" s="208"/>
      <c r="L156" s="208"/>
      <c r="M156" s="208"/>
      <c r="N156" s="208"/>
      <c r="O156" s="208"/>
      <c r="P156" s="208"/>
      <c r="Q156" s="211"/>
    </row>
    <row r="157" ht="12.75" customHeight="1" hidden="1">
      <c r="A157" s="207"/>
      <c r="B157" s="208"/>
      <c r="C157" s="208"/>
      <c r="D157" s="208"/>
      <c r="E157" s="208"/>
      <c r="F157" s="208"/>
      <c r="G157" s="208"/>
      <c r="H157" s="208"/>
      <c r="I157" s="208"/>
      <c r="J157" s="208"/>
      <c r="K157" s="208"/>
      <c r="L157" s="208"/>
      <c r="M157" s="208"/>
      <c r="N157" s="208"/>
      <c r="O157" s="208"/>
      <c r="P157" s="208"/>
      <c r="Q157" s="211"/>
    </row>
    <row r="158" ht="12.75" customHeight="1" hidden="1">
      <c r="A158" s="207"/>
      <c r="B158" s="208"/>
      <c r="C158" s="208"/>
      <c r="D158" s="208"/>
      <c r="E158" s="208"/>
      <c r="F158" s="208"/>
      <c r="G158" s="208"/>
      <c r="H158" s="208"/>
      <c r="I158" s="208"/>
      <c r="J158" s="208"/>
      <c r="K158" s="208"/>
      <c r="L158" s="208"/>
      <c r="M158" s="208"/>
      <c r="N158" s="208"/>
      <c r="O158" s="208"/>
      <c r="P158" s="208"/>
      <c r="Q158" s="211"/>
    </row>
    <row r="159" ht="12.75" customHeight="1" hidden="1">
      <c r="A159" s="207"/>
      <c r="B159" s="208"/>
      <c r="C159" s="208"/>
      <c r="D159" s="208"/>
      <c r="E159" s="208"/>
      <c r="F159" s="208"/>
      <c r="G159" s="208"/>
      <c r="H159" s="208"/>
      <c r="I159" s="208"/>
      <c r="J159" s="208"/>
      <c r="K159" s="208"/>
      <c r="L159" s="208"/>
      <c r="M159" s="208"/>
      <c r="N159" s="208"/>
      <c r="O159" s="208"/>
      <c r="P159" s="208"/>
      <c r="Q159" s="211"/>
    </row>
    <row r="160" ht="12.75" customHeight="1" hidden="1">
      <c r="A160" s="207"/>
      <c r="B160" s="208"/>
      <c r="C160" s="208"/>
      <c r="D160" s="208"/>
      <c r="E160" s="208"/>
      <c r="F160" s="208"/>
      <c r="G160" s="208"/>
      <c r="H160" s="208"/>
      <c r="I160" s="208"/>
      <c r="J160" s="208"/>
      <c r="K160" s="208"/>
      <c r="L160" s="208"/>
      <c r="M160" s="208"/>
      <c r="N160" s="208"/>
      <c r="O160" s="208"/>
      <c r="P160" s="208"/>
      <c r="Q160" s="211"/>
    </row>
    <row r="161" ht="12.75" customHeight="1" hidden="1">
      <c r="A161" s="207"/>
      <c r="B161" s="208"/>
      <c r="C161" s="208"/>
      <c r="D161" s="208"/>
      <c r="E161" s="208"/>
      <c r="F161" s="208"/>
      <c r="G161" s="208"/>
      <c r="H161" s="208"/>
      <c r="I161" s="208"/>
      <c r="J161" s="208"/>
      <c r="K161" s="208"/>
      <c r="L161" s="208"/>
      <c r="M161" s="208"/>
      <c r="N161" s="208"/>
      <c r="O161" s="208"/>
      <c r="P161" s="208"/>
      <c r="Q161" s="211"/>
    </row>
    <row r="162" ht="12.75" customHeight="1" hidden="1">
      <c r="A162" s="207"/>
      <c r="B162" s="208"/>
      <c r="C162" s="208"/>
      <c r="D162" s="208"/>
      <c r="E162" s="208"/>
      <c r="F162" s="208"/>
      <c r="G162" s="208"/>
      <c r="H162" s="208"/>
      <c r="I162" s="208"/>
      <c r="J162" s="208"/>
      <c r="K162" s="208"/>
      <c r="L162" s="208"/>
      <c r="M162" s="208"/>
      <c r="N162" s="208"/>
      <c r="O162" s="208"/>
      <c r="P162" s="208"/>
      <c r="Q162" s="211"/>
    </row>
    <row r="163" ht="12.75" customHeight="1" hidden="1">
      <c r="A163" s="207"/>
      <c r="B163" s="208"/>
      <c r="C163" s="208"/>
      <c r="D163" s="208"/>
      <c r="E163" s="208"/>
      <c r="F163" s="208"/>
      <c r="G163" s="208"/>
      <c r="H163" s="208"/>
      <c r="I163" s="208"/>
      <c r="J163" s="208"/>
      <c r="K163" s="208"/>
      <c r="L163" s="208"/>
      <c r="M163" s="208"/>
      <c r="N163" s="208"/>
      <c r="O163" s="208"/>
      <c r="P163" s="208"/>
      <c r="Q163" s="211"/>
    </row>
    <row r="164" ht="12.75" customHeight="1" hidden="1">
      <c r="A164" s="207"/>
      <c r="B164" s="208"/>
      <c r="C164" s="208"/>
      <c r="D164" s="208"/>
      <c r="E164" s="208"/>
      <c r="F164" s="208"/>
      <c r="G164" s="208"/>
      <c r="H164" s="208"/>
      <c r="I164" s="208"/>
      <c r="J164" s="208"/>
      <c r="K164" s="208"/>
      <c r="L164" s="208"/>
      <c r="M164" s="208"/>
      <c r="N164" s="208"/>
      <c r="O164" s="208"/>
      <c r="P164" s="208"/>
      <c r="Q164" s="211"/>
    </row>
    <row r="165" ht="12.75" customHeight="1" hidden="1">
      <c r="A165" s="207"/>
      <c r="B165" s="208"/>
      <c r="C165" s="208"/>
      <c r="D165" s="208"/>
      <c r="E165" s="208"/>
      <c r="F165" s="208"/>
      <c r="G165" s="208"/>
      <c r="H165" s="208"/>
      <c r="I165" s="208"/>
      <c r="J165" s="208"/>
      <c r="K165" s="208"/>
      <c r="L165" s="208"/>
      <c r="M165" s="208"/>
      <c r="N165" s="208"/>
      <c r="O165" s="208"/>
      <c r="P165" s="208"/>
      <c r="Q165" s="211"/>
    </row>
    <row r="166" ht="12.75" customHeight="1" hidden="1">
      <c r="A166" s="207"/>
      <c r="B166" s="208"/>
      <c r="C166" s="208"/>
      <c r="D166" s="208"/>
      <c r="E166" s="208"/>
      <c r="F166" s="208"/>
      <c r="G166" s="208"/>
      <c r="H166" s="208"/>
      <c r="I166" s="208"/>
      <c r="J166" s="208"/>
      <c r="K166" s="208"/>
      <c r="L166" s="208"/>
      <c r="M166" s="208"/>
      <c r="N166" s="208"/>
      <c r="O166" s="208"/>
      <c r="P166" s="208"/>
      <c r="Q166" s="211"/>
    </row>
    <row r="167" ht="12.75" customHeight="1" hidden="1">
      <c r="A167" s="207"/>
      <c r="B167" s="208"/>
      <c r="C167" s="208"/>
      <c r="D167" s="208"/>
      <c r="E167" s="208"/>
      <c r="F167" s="208"/>
      <c r="G167" s="208"/>
      <c r="H167" s="208"/>
      <c r="I167" s="208"/>
      <c r="J167" s="208"/>
      <c r="K167" s="208"/>
      <c r="L167" s="208"/>
      <c r="M167" s="208"/>
      <c r="N167" s="208"/>
      <c r="O167" s="208"/>
      <c r="P167" s="208"/>
      <c r="Q167" s="211"/>
    </row>
    <row r="168" ht="12.75" customHeight="1" hidden="1">
      <c r="A168" s="207"/>
      <c r="B168" s="208"/>
      <c r="C168" s="208"/>
      <c r="D168" s="208"/>
      <c r="E168" s="208"/>
      <c r="F168" s="208"/>
      <c r="G168" s="208"/>
      <c r="H168" s="208"/>
      <c r="I168" s="208"/>
      <c r="J168" s="208"/>
      <c r="K168" s="208"/>
      <c r="L168" s="208"/>
      <c r="M168" s="208"/>
      <c r="N168" s="208"/>
      <c r="O168" s="208"/>
      <c r="P168" s="208"/>
      <c r="Q168" s="211"/>
    </row>
    <row r="169" ht="12.75" customHeight="1" hidden="1">
      <c r="A169" s="207"/>
      <c r="B169" s="208"/>
      <c r="C169" s="208"/>
      <c r="D169" s="208"/>
      <c r="E169" s="208"/>
      <c r="F169" s="208"/>
      <c r="G169" s="208"/>
      <c r="H169" s="208"/>
      <c r="I169" s="208"/>
      <c r="J169" s="208"/>
      <c r="K169" s="208"/>
      <c r="L169" s="208"/>
      <c r="M169" s="208"/>
      <c r="N169" s="208"/>
      <c r="O169" s="208"/>
      <c r="P169" s="208"/>
      <c r="Q169" s="211"/>
    </row>
    <row r="170" ht="12.75" customHeight="1" hidden="1">
      <c r="A170" s="207"/>
      <c r="B170" s="208"/>
      <c r="C170" s="208"/>
      <c r="D170" s="208"/>
      <c r="E170" s="208"/>
      <c r="F170" s="208"/>
      <c r="G170" s="208"/>
      <c r="H170" s="208"/>
      <c r="I170" s="208"/>
      <c r="J170" s="208"/>
      <c r="K170" s="208"/>
      <c r="L170" s="208"/>
      <c r="M170" s="208"/>
      <c r="N170" s="208"/>
      <c r="O170" s="208"/>
      <c r="P170" s="208"/>
      <c r="Q170" s="211"/>
    </row>
    <row r="171" ht="12.75" customHeight="1" hidden="1">
      <c r="A171" s="207"/>
      <c r="B171" s="208"/>
      <c r="C171" s="208"/>
      <c r="D171" s="208"/>
      <c r="E171" s="208"/>
      <c r="F171" s="208"/>
      <c r="G171" s="208"/>
      <c r="H171" s="208"/>
      <c r="I171" s="208"/>
      <c r="J171" s="208"/>
      <c r="K171" s="208"/>
      <c r="L171" s="208"/>
      <c r="M171" s="208"/>
      <c r="N171" s="208"/>
      <c r="O171" s="208"/>
      <c r="P171" s="208"/>
      <c r="Q171" s="211"/>
    </row>
    <row r="172" ht="12.75" customHeight="1" hidden="1">
      <c r="A172" s="207"/>
      <c r="B172" s="208"/>
      <c r="C172" s="208"/>
      <c r="D172" s="208"/>
      <c r="E172" s="208"/>
      <c r="F172" s="208"/>
      <c r="G172" s="208"/>
      <c r="H172" s="208"/>
      <c r="I172" s="208"/>
      <c r="J172" s="208"/>
      <c r="K172" s="208"/>
      <c r="L172" s="208"/>
      <c r="M172" s="208"/>
      <c r="N172" s="208"/>
      <c r="O172" s="208"/>
      <c r="P172" s="208"/>
      <c r="Q172" s="211"/>
    </row>
    <row r="173" ht="12.75" customHeight="1" hidden="1">
      <c r="A173" s="207"/>
      <c r="B173" s="208"/>
      <c r="C173" s="208"/>
      <c r="D173" s="208"/>
      <c r="E173" s="208"/>
      <c r="F173" s="208"/>
      <c r="G173" s="208"/>
      <c r="H173" s="208"/>
      <c r="I173" s="208"/>
      <c r="J173" s="208"/>
      <c r="K173" s="208"/>
      <c r="L173" s="208"/>
      <c r="M173" s="208"/>
      <c r="N173" s="208"/>
      <c r="O173" s="208"/>
      <c r="P173" s="208"/>
      <c r="Q173" s="211"/>
    </row>
    <row r="174" ht="12.75" customHeight="1" hidden="1">
      <c r="A174" s="207"/>
      <c r="B174" s="208"/>
      <c r="C174" s="208"/>
      <c r="D174" s="208"/>
      <c r="E174" s="208"/>
      <c r="F174" s="208"/>
      <c r="G174" s="208"/>
      <c r="H174" s="208"/>
      <c r="I174" s="208"/>
      <c r="J174" s="208"/>
      <c r="K174" s="208"/>
      <c r="L174" s="208"/>
      <c r="M174" s="208"/>
      <c r="N174" s="208"/>
      <c r="O174" s="208"/>
      <c r="P174" s="208"/>
      <c r="Q174" s="211"/>
    </row>
    <row r="175" ht="12.75" customHeight="1" hidden="1">
      <c r="A175" s="207"/>
      <c r="B175" s="208"/>
      <c r="C175" s="208"/>
      <c r="D175" s="208"/>
      <c r="E175" s="208"/>
      <c r="F175" s="208"/>
      <c r="G175" s="208"/>
      <c r="H175" s="208"/>
      <c r="I175" s="208"/>
      <c r="J175" s="208"/>
      <c r="K175" s="208"/>
      <c r="L175" s="208"/>
      <c r="M175" s="208"/>
      <c r="N175" s="208"/>
      <c r="O175" s="208"/>
      <c r="P175" s="208"/>
      <c r="Q175" s="211"/>
    </row>
    <row r="176" ht="12.75" customHeight="1" hidden="1">
      <c r="A176" s="207"/>
      <c r="B176" s="208"/>
      <c r="C176" s="208"/>
      <c r="D176" s="208"/>
      <c r="E176" s="208"/>
      <c r="F176" s="208"/>
      <c r="G176" s="208"/>
      <c r="H176" s="208"/>
      <c r="I176" s="208"/>
      <c r="J176" s="208"/>
      <c r="K176" s="208"/>
      <c r="L176" s="208"/>
      <c r="M176" s="208"/>
      <c r="N176" s="208"/>
      <c r="O176" s="208"/>
      <c r="P176" s="208"/>
      <c r="Q176" s="211"/>
    </row>
    <row r="177" ht="12.75" customHeight="1" hidden="1">
      <c r="A177" s="207"/>
      <c r="B177" s="208"/>
      <c r="C177" s="208"/>
      <c r="D177" s="208"/>
      <c r="E177" s="208"/>
      <c r="F177" s="208"/>
      <c r="G177" s="208"/>
      <c r="H177" s="208"/>
      <c r="I177" s="208"/>
      <c r="J177" s="208"/>
      <c r="K177" s="208"/>
      <c r="L177" s="208"/>
      <c r="M177" s="208"/>
      <c r="N177" s="208"/>
      <c r="O177" s="208"/>
      <c r="P177" s="208"/>
      <c r="Q177" s="211"/>
    </row>
    <row r="178" ht="12.75" customHeight="1" hidden="1">
      <c r="A178" s="207"/>
      <c r="B178" s="208"/>
      <c r="C178" s="208"/>
      <c r="D178" s="208"/>
      <c r="E178" s="208"/>
      <c r="F178" s="208"/>
      <c r="G178" s="208"/>
      <c r="H178" s="208"/>
      <c r="I178" s="208"/>
      <c r="J178" s="208"/>
      <c r="K178" s="208"/>
      <c r="L178" s="208"/>
      <c r="M178" s="208"/>
      <c r="N178" s="208"/>
      <c r="O178" s="208"/>
      <c r="P178" s="208"/>
      <c r="Q178" s="211"/>
    </row>
    <row r="179" ht="12.75" customHeight="1" hidden="1">
      <c r="A179" s="207"/>
      <c r="B179" s="208"/>
      <c r="C179" s="208"/>
      <c r="D179" s="208"/>
      <c r="E179" s="208"/>
      <c r="F179" s="208"/>
      <c r="G179" s="208"/>
      <c r="H179" s="208"/>
      <c r="I179" s="208"/>
      <c r="J179" s="208"/>
      <c r="K179" s="208"/>
      <c r="L179" s="208"/>
      <c r="M179" s="208"/>
      <c r="N179" s="208"/>
      <c r="O179" s="208"/>
      <c r="P179" s="208"/>
      <c r="Q179" s="211"/>
    </row>
    <row r="180" ht="12.75" customHeight="1" hidden="1">
      <c r="A180" s="207"/>
      <c r="B180" s="208"/>
      <c r="C180" s="208"/>
      <c r="D180" s="208"/>
      <c r="E180" s="208"/>
      <c r="F180" s="208"/>
      <c r="G180" s="208"/>
      <c r="H180" s="208"/>
      <c r="I180" s="208"/>
      <c r="J180" s="208"/>
      <c r="K180" s="208"/>
      <c r="L180" s="208"/>
      <c r="M180" s="208"/>
      <c r="N180" s="208"/>
      <c r="O180" s="208"/>
      <c r="P180" s="208"/>
      <c r="Q180" s="211"/>
    </row>
    <row r="181" ht="12.75" customHeight="1" hidden="1">
      <c r="A181" s="207"/>
      <c r="B181" s="208"/>
      <c r="C181" s="208"/>
      <c r="D181" s="208"/>
      <c r="E181" s="208"/>
      <c r="F181" s="208"/>
      <c r="G181" s="208"/>
      <c r="H181" s="208"/>
      <c r="I181" s="208"/>
      <c r="J181" s="208"/>
      <c r="K181" s="208"/>
      <c r="L181" s="208"/>
      <c r="M181" s="208"/>
      <c r="N181" s="208"/>
      <c r="O181" s="208"/>
      <c r="P181" s="208"/>
      <c r="Q181" s="211"/>
    </row>
    <row r="182" ht="12.75" customHeight="1" hidden="1">
      <c r="A182" s="207"/>
      <c r="B182" s="208"/>
      <c r="C182" s="208"/>
      <c r="D182" s="208"/>
      <c r="E182" s="208"/>
      <c r="F182" s="208"/>
      <c r="G182" s="208"/>
      <c r="H182" s="208"/>
      <c r="I182" s="208"/>
      <c r="J182" s="208"/>
      <c r="K182" s="208"/>
      <c r="L182" s="208"/>
      <c r="M182" s="208"/>
      <c r="N182" s="208"/>
      <c r="O182" s="208"/>
      <c r="P182" s="208"/>
      <c r="Q182" s="211"/>
    </row>
    <row r="183" ht="12.75" customHeight="1" hidden="1">
      <c r="A183" s="207"/>
      <c r="B183" s="208"/>
      <c r="C183" s="208"/>
      <c r="D183" s="208"/>
      <c r="E183" s="208"/>
      <c r="F183" s="208"/>
      <c r="G183" s="208"/>
      <c r="H183" s="208"/>
      <c r="I183" s="208"/>
      <c r="J183" s="208"/>
      <c r="K183" s="208"/>
      <c r="L183" s="208"/>
      <c r="M183" s="208"/>
      <c r="N183" s="208"/>
      <c r="O183" s="208"/>
      <c r="P183" s="208"/>
      <c r="Q183" s="211"/>
    </row>
    <row r="184" ht="12.75" customHeight="1" hidden="1">
      <c r="A184" s="207"/>
      <c r="B184" s="208"/>
      <c r="C184" s="208"/>
      <c r="D184" s="208"/>
      <c r="E184" s="208"/>
      <c r="F184" s="208"/>
      <c r="G184" s="208"/>
      <c r="H184" s="208"/>
      <c r="I184" s="208"/>
      <c r="J184" s="208"/>
      <c r="K184" s="208"/>
      <c r="L184" s="208"/>
      <c r="M184" s="208"/>
      <c r="N184" s="208"/>
      <c r="O184" s="208"/>
      <c r="P184" s="208"/>
      <c r="Q184" s="211"/>
    </row>
    <row r="185" ht="12.75" customHeight="1" hidden="1">
      <c r="A185" s="207"/>
      <c r="B185" s="208"/>
      <c r="C185" s="208"/>
      <c r="D185" s="208"/>
      <c r="E185" s="208"/>
      <c r="F185" s="208"/>
      <c r="G185" s="208"/>
      <c r="H185" s="208"/>
      <c r="I185" s="208"/>
      <c r="J185" s="208"/>
      <c r="K185" s="208"/>
      <c r="L185" s="208"/>
      <c r="M185" s="208"/>
      <c r="N185" s="208"/>
      <c r="O185" s="208"/>
      <c r="P185" s="208"/>
      <c r="Q185" s="211"/>
    </row>
    <row r="186" ht="12.75" customHeight="1" hidden="1">
      <c r="A186" s="207"/>
      <c r="B186" s="208"/>
      <c r="C186" s="208"/>
      <c r="D186" s="208"/>
      <c r="E186" s="208"/>
      <c r="F186" s="208"/>
      <c r="G186" s="208"/>
      <c r="H186" s="208"/>
      <c r="I186" s="208"/>
      <c r="J186" s="208"/>
      <c r="K186" s="208"/>
      <c r="L186" s="208"/>
      <c r="M186" s="208"/>
      <c r="N186" s="208"/>
      <c r="O186" s="208"/>
      <c r="P186" s="208"/>
      <c r="Q186" s="211"/>
    </row>
    <row r="187" ht="12.75" customHeight="1" hidden="1">
      <c r="A187" s="207"/>
      <c r="B187" s="208"/>
      <c r="C187" s="208"/>
      <c r="D187" s="208"/>
      <c r="E187" s="208"/>
      <c r="F187" s="208"/>
      <c r="G187" s="208"/>
      <c r="H187" s="208"/>
      <c r="I187" s="208"/>
      <c r="J187" s="208"/>
      <c r="K187" s="208"/>
      <c r="L187" s="208"/>
      <c r="M187" s="208"/>
      <c r="N187" s="208"/>
      <c r="O187" s="208"/>
      <c r="P187" s="208"/>
      <c r="Q187" s="211"/>
    </row>
    <row r="188" ht="12.75" customHeight="1" hidden="1">
      <c r="A188" s="207"/>
      <c r="B188" s="208"/>
      <c r="C188" s="208"/>
      <c r="D188" s="208"/>
      <c r="E188" s="208"/>
      <c r="F188" s="208"/>
      <c r="G188" s="208"/>
      <c r="H188" s="208"/>
      <c r="I188" s="208"/>
      <c r="J188" s="208"/>
      <c r="K188" s="208"/>
      <c r="L188" s="208"/>
      <c r="M188" s="208"/>
      <c r="N188" s="208"/>
      <c r="O188" s="208"/>
      <c r="P188" s="208"/>
      <c r="Q188" s="211"/>
    </row>
    <row r="189" ht="12.75" customHeight="1" hidden="1">
      <c r="A189" s="207"/>
      <c r="B189" s="208"/>
      <c r="C189" s="208"/>
      <c r="D189" s="208"/>
      <c r="E189" s="208"/>
      <c r="F189" s="208"/>
      <c r="G189" s="208"/>
      <c r="H189" s="208"/>
      <c r="I189" s="208"/>
      <c r="J189" s="208"/>
      <c r="K189" s="208"/>
      <c r="L189" s="208"/>
      <c r="M189" s="208"/>
      <c r="N189" s="208"/>
      <c r="O189" s="208"/>
      <c r="P189" s="208"/>
      <c r="Q189" s="211"/>
    </row>
    <row r="190" ht="12.75" customHeight="1" hidden="1">
      <c r="A190" s="207"/>
      <c r="B190" s="208"/>
      <c r="C190" s="208"/>
      <c r="D190" s="208"/>
      <c r="E190" s="208"/>
      <c r="F190" s="208"/>
      <c r="G190" s="208"/>
      <c r="H190" s="208"/>
      <c r="I190" s="208"/>
      <c r="J190" s="208"/>
      <c r="K190" s="208"/>
      <c r="L190" s="208"/>
      <c r="M190" s="208"/>
      <c r="N190" s="208"/>
      <c r="O190" s="208"/>
      <c r="P190" s="208"/>
      <c r="Q190" s="211"/>
    </row>
    <row r="191" ht="12.75" customHeight="1" hidden="1">
      <c r="A191" s="207"/>
      <c r="B191" s="208"/>
      <c r="C191" s="208"/>
      <c r="D191" s="208"/>
      <c r="E191" s="208"/>
      <c r="F191" s="208"/>
      <c r="G191" s="208"/>
      <c r="H191" s="208"/>
      <c r="I191" s="208"/>
      <c r="J191" s="208"/>
      <c r="K191" s="208"/>
      <c r="L191" s="208"/>
      <c r="M191" s="208"/>
      <c r="N191" s="208"/>
      <c r="O191" s="208"/>
      <c r="P191" s="208"/>
      <c r="Q191" s="211"/>
    </row>
    <row r="192" ht="12.75" customHeight="1" hidden="1">
      <c r="A192" s="207"/>
      <c r="B192" s="208"/>
      <c r="C192" s="208"/>
      <c r="D192" s="208"/>
      <c r="E192" s="208"/>
      <c r="F192" s="208"/>
      <c r="G192" s="208"/>
      <c r="H192" s="208"/>
      <c r="I192" s="208"/>
      <c r="J192" s="208"/>
      <c r="K192" s="208"/>
      <c r="L192" s="208"/>
      <c r="M192" s="208"/>
      <c r="N192" s="208"/>
      <c r="O192" s="208"/>
      <c r="P192" s="208"/>
      <c r="Q192" s="211"/>
    </row>
    <row r="193" ht="12.75" customHeight="1" hidden="1">
      <c r="A193" s="207"/>
      <c r="B193" s="208"/>
      <c r="C193" s="208"/>
      <c r="D193" s="208"/>
      <c r="E193" s="208"/>
      <c r="F193" s="208"/>
      <c r="G193" s="208"/>
      <c r="H193" s="208"/>
      <c r="I193" s="208"/>
      <c r="J193" s="208"/>
      <c r="K193" s="208"/>
      <c r="L193" s="208"/>
      <c r="M193" s="208"/>
      <c r="N193" s="208"/>
      <c r="O193" s="208"/>
      <c r="P193" s="208"/>
      <c r="Q193" s="211"/>
    </row>
    <row r="194" ht="12.75" customHeight="1" hidden="1">
      <c r="A194" s="207"/>
      <c r="B194" s="208"/>
      <c r="C194" s="208"/>
      <c r="D194" s="208"/>
      <c r="E194" s="208"/>
      <c r="F194" s="208"/>
      <c r="G194" s="208"/>
      <c r="H194" s="208"/>
      <c r="I194" s="208"/>
      <c r="J194" s="208"/>
      <c r="K194" s="208"/>
      <c r="L194" s="208"/>
      <c r="M194" s="208"/>
      <c r="N194" s="208"/>
      <c r="O194" s="208"/>
      <c r="P194" s="208"/>
      <c r="Q194" s="211"/>
    </row>
    <row r="195" ht="12.75" customHeight="1" hidden="1">
      <c r="A195" s="207"/>
      <c r="B195" s="208"/>
      <c r="C195" s="208"/>
      <c r="D195" s="208"/>
      <c r="E195" s="208"/>
      <c r="F195" s="208"/>
      <c r="G195" s="208"/>
      <c r="H195" s="208"/>
      <c r="I195" s="208"/>
      <c r="J195" s="208"/>
      <c r="K195" s="208"/>
      <c r="L195" s="208"/>
      <c r="M195" s="208"/>
      <c r="N195" s="208"/>
      <c r="O195" s="208"/>
      <c r="P195" s="208"/>
      <c r="Q195" s="211"/>
    </row>
    <row r="196" ht="12.75" customHeight="1" hidden="1">
      <c r="A196" s="207"/>
      <c r="B196" s="208"/>
      <c r="C196" s="208"/>
      <c r="D196" s="208"/>
      <c r="E196" s="208"/>
      <c r="F196" s="208"/>
      <c r="G196" s="208"/>
      <c r="H196" s="208"/>
      <c r="I196" s="208"/>
      <c r="J196" s="208"/>
      <c r="K196" s="208"/>
      <c r="L196" s="208"/>
      <c r="M196" s="208"/>
      <c r="N196" s="208"/>
      <c r="O196" s="208"/>
      <c r="P196" s="208"/>
      <c r="Q196" s="211"/>
    </row>
    <row r="197" ht="12.75" customHeight="1" hidden="1">
      <c r="A197" s="207"/>
      <c r="B197" s="208"/>
      <c r="C197" s="208"/>
      <c r="D197" s="208"/>
      <c r="E197" s="208"/>
      <c r="F197" s="208"/>
      <c r="G197" s="208"/>
      <c r="H197" s="208"/>
      <c r="I197" s="208"/>
      <c r="J197" s="208"/>
      <c r="K197" s="208"/>
      <c r="L197" s="208"/>
      <c r="M197" s="208"/>
      <c r="N197" s="208"/>
      <c r="O197" s="208"/>
      <c r="P197" s="208"/>
      <c r="Q197" s="211"/>
    </row>
    <row r="198" ht="12.75" customHeight="1" hidden="1">
      <c r="A198" s="207"/>
      <c r="B198" s="208"/>
      <c r="C198" s="208"/>
      <c r="D198" s="208"/>
      <c r="E198" s="208"/>
      <c r="F198" s="208"/>
      <c r="G198" s="208"/>
      <c r="H198" s="208"/>
      <c r="I198" s="208"/>
      <c r="J198" s="208"/>
      <c r="K198" s="208"/>
      <c r="L198" s="208"/>
      <c r="M198" s="208"/>
      <c r="N198" s="208"/>
      <c r="O198" s="208"/>
      <c r="P198" s="208"/>
      <c r="Q198" s="211"/>
    </row>
    <row r="199" ht="12.75" customHeight="1" hidden="1">
      <c r="A199" s="207"/>
      <c r="B199" s="208"/>
      <c r="C199" s="208"/>
      <c r="D199" s="208"/>
      <c r="E199" s="208"/>
      <c r="F199" s="208"/>
      <c r="G199" s="208"/>
      <c r="H199" s="208"/>
      <c r="I199" s="208"/>
      <c r="J199" s="208"/>
      <c r="K199" s="208"/>
      <c r="L199" s="208"/>
      <c r="M199" s="208"/>
      <c r="N199" s="208"/>
      <c r="O199" s="208"/>
      <c r="P199" s="208"/>
      <c r="Q199" s="211"/>
    </row>
    <row r="200" ht="12.75" customHeight="1" hidden="1">
      <c r="A200" s="207"/>
      <c r="B200" s="208"/>
      <c r="C200" s="208"/>
      <c r="D200" s="208"/>
      <c r="E200" s="208"/>
      <c r="F200" s="208"/>
      <c r="G200" s="208"/>
      <c r="H200" s="208"/>
      <c r="I200" s="208"/>
      <c r="J200" s="208"/>
      <c r="K200" s="208"/>
      <c r="L200" s="208"/>
      <c r="M200" s="208"/>
      <c r="N200" s="208"/>
      <c r="O200" s="208"/>
      <c r="P200" s="208"/>
      <c r="Q200" s="211"/>
    </row>
    <row r="201" ht="12.75" customHeight="1" hidden="1">
      <c r="A201" s="207"/>
      <c r="B201" s="208"/>
      <c r="C201" s="208"/>
      <c r="D201" s="208"/>
      <c r="E201" s="208"/>
      <c r="F201" s="208"/>
      <c r="G201" s="208"/>
      <c r="H201" s="208"/>
      <c r="I201" s="208"/>
      <c r="J201" s="208"/>
      <c r="K201" s="208"/>
      <c r="L201" s="208"/>
      <c r="M201" s="208"/>
      <c r="N201" s="208"/>
      <c r="O201" s="208"/>
      <c r="P201" s="208"/>
      <c r="Q201" s="211"/>
    </row>
    <row r="202" ht="12.75" customHeight="1" hidden="1">
      <c r="A202" s="207"/>
      <c r="B202" s="208"/>
      <c r="C202" s="208"/>
      <c r="D202" s="208"/>
      <c r="E202" s="208"/>
      <c r="F202" s="208"/>
      <c r="G202" s="208"/>
      <c r="H202" s="208"/>
      <c r="I202" s="208"/>
      <c r="J202" s="208"/>
      <c r="K202" s="208"/>
      <c r="L202" s="208"/>
      <c r="M202" s="208"/>
      <c r="N202" s="208"/>
      <c r="O202" s="208"/>
      <c r="P202" s="208"/>
      <c r="Q202" s="211"/>
    </row>
    <row r="203" ht="12.75" customHeight="1" hidden="1">
      <c r="A203" s="207"/>
      <c r="B203" s="208"/>
      <c r="C203" s="208"/>
      <c r="D203" s="208"/>
      <c r="E203" s="208"/>
      <c r="F203" s="208"/>
      <c r="G203" s="208"/>
      <c r="H203" s="208"/>
      <c r="I203" s="208"/>
      <c r="J203" s="208"/>
      <c r="K203" s="208"/>
      <c r="L203" s="208"/>
      <c r="M203" s="208"/>
      <c r="N203" s="208"/>
      <c r="O203" s="208"/>
      <c r="P203" s="208"/>
      <c r="Q203" s="211"/>
    </row>
    <row r="204" ht="12.75" customHeight="1" hidden="1">
      <c r="A204" s="207"/>
      <c r="B204" s="208"/>
      <c r="C204" s="208"/>
      <c r="D204" s="208"/>
      <c r="E204" s="208"/>
      <c r="F204" s="208"/>
      <c r="G204" s="208"/>
      <c r="H204" s="208"/>
      <c r="I204" s="208"/>
      <c r="J204" s="208"/>
      <c r="K204" s="208"/>
      <c r="L204" s="208"/>
      <c r="M204" s="208"/>
      <c r="N204" s="208"/>
      <c r="O204" s="208"/>
      <c r="P204" s="208"/>
      <c r="Q204" s="211"/>
    </row>
    <row r="205" ht="12.75" customHeight="1" hidden="1">
      <c r="A205" s="207"/>
      <c r="B205" s="208"/>
      <c r="C205" s="208"/>
      <c r="D205" s="208"/>
      <c r="E205" s="208"/>
      <c r="F205" s="208"/>
      <c r="G205" s="208"/>
      <c r="H205" s="208"/>
      <c r="I205" s="208"/>
      <c r="J205" s="208"/>
      <c r="K205" s="208"/>
      <c r="L205" s="208"/>
      <c r="M205" s="208"/>
      <c r="N205" s="208"/>
      <c r="O205" s="208"/>
      <c r="P205" s="208"/>
      <c r="Q205" s="211"/>
    </row>
    <row r="206" ht="12.75" customHeight="1" hidden="1">
      <c r="A206" s="207"/>
      <c r="B206" s="208"/>
      <c r="C206" s="208"/>
      <c r="D206" s="208"/>
      <c r="E206" s="208"/>
      <c r="F206" s="208"/>
      <c r="G206" s="208"/>
      <c r="H206" s="208"/>
      <c r="I206" s="208"/>
      <c r="J206" s="208"/>
      <c r="K206" s="208"/>
      <c r="L206" s="208"/>
      <c r="M206" s="208"/>
      <c r="N206" s="208"/>
      <c r="O206" s="208"/>
      <c r="P206" s="208"/>
      <c r="Q206" s="211"/>
    </row>
    <row r="207" ht="12.75" customHeight="1" hidden="1">
      <c r="A207" s="207"/>
      <c r="B207" s="208"/>
      <c r="C207" s="208"/>
      <c r="D207" s="208"/>
      <c r="E207" s="208"/>
      <c r="F207" s="208"/>
      <c r="G207" s="208"/>
      <c r="H207" s="208"/>
      <c r="I207" s="208"/>
      <c r="J207" s="208"/>
      <c r="K207" s="208"/>
      <c r="L207" s="208"/>
      <c r="M207" s="208"/>
      <c r="N207" s="208"/>
      <c r="O207" s="208"/>
      <c r="P207" s="208"/>
      <c r="Q207" s="211"/>
    </row>
    <row r="208" ht="12.75" customHeight="1" hidden="1">
      <c r="A208" s="207"/>
      <c r="B208" s="208"/>
      <c r="C208" s="208"/>
      <c r="D208" s="208"/>
      <c r="E208" s="208"/>
      <c r="F208" s="208"/>
      <c r="G208" s="208"/>
      <c r="H208" s="208"/>
      <c r="I208" s="208"/>
      <c r="J208" s="208"/>
      <c r="K208" s="208"/>
      <c r="L208" s="208"/>
      <c r="M208" s="208"/>
      <c r="N208" s="208"/>
      <c r="O208" s="208"/>
      <c r="P208" s="208"/>
      <c r="Q208" s="211"/>
    </row>
    <row r="209" ht="12.75" customHeight="1" hidden="1">
      <c r="A209" s="207"/>
      <c r="B209" s="208"/>
      <c r="C209" s="208"/>
      <c r="D209" s="208"/>
      <c r="E209" s="208"/>
      <c r="F209" s="208"/>
      <c r="G209" s="208"/>
      <c r="H209" s="208"/>
      <c r="I209" s="208"/>
      <c r="J209" s="208"/>
      <c r="K209" s="208"/>
      <c r="L209" s="208"/>
      <c r="M209" s="208"/>
      <c r="N209" s="208"/>
      <c r="O209" s="208"/>
      <c r="P209" s="208"/>
      <c r="Q209" s="211"/>
    </row>
    <row r="210" ht="12.75" customHeight="1" hidden="1">
      <c r="A210" s="207"/>
      <c r="B210" s="208"/>
      <c r="C210" s="208"/>
      <c r="D210" s="208"/>
      <c r="E210" s="208"/>
      <c r="F210" s="208"/>
      <c r="G210" s="208"/>
      <c r="H210" s="208"/>
      <c r="I210" s="208"/>
      <c r="J210" s="208"/>
      <c r="K210" s="208"/>
      <c r="L210" s="208"/>
      <c r="M210" s="208"/>
      <c r="N210" s="208"/>
      <c r="O210" s="208"/>
      <c r="P210" s="208"/>
      <c r="Q210" s="211"/>
    </row>
    <row r="211" ht="12.75" customHeight="1" hidden="1">
      <c r="A211" s="207"/>
      <c r="B211" s="208"/>
      <c r="C211" s="208"/>
      <c r="D211" s="208"/>
      <c r="E211" s="208"/>
      <c r="F211" s="208"/>
      <c r="G211" s="208"/>
      <c r="H211" s="208"/>
      <c r="I211" s="208"/>
      <c r="J211" s="208"/>
      <c r="K211" s="208"/>
      <c r="L211" s="208"/>
      <c r="M211" s="208"/>
      <c r="N211" s="208"/>
      <c r="O211" s="208"/>
      <c r="P211" s="208"/>
      <c r="Q211" s="211"/>
    </row>
    <row r="212" ht="12.75" customHeight="1" hidden="1">
      <c r="A212" s="207"/>
      <c r="B212" s="208"/>
      <c r="C212" s="208"/>
      <c r="D212" s="208"/>
      <c r="E212" s="208"/>
      <c r="F212" s="208"/>
      <c r="G212" s="208"/>
      <c r="H212" s="208"/>
      <c r="I212" s="208"/>
      <c r="J212" s="208"/>
      <c r="K212" s="208"/>
      <c r="L212" s="208"/>
      <c r="M212" s="208"/>
      <c r="N212" s="208"/>
      <c r="O212" s="208"/>
      <c r="P212" s="208"/>
      <c r="Q212" s="211"/>
    </row>
    <row r="213" ht="12.75" customHeight="1" hidden="1">
      <c r="A213" s="207"/>
      <c r="B213" s="208"/>
      <c r="C213" s="208"/>
      <c r="D213" s="208"/>
      <c r="E213" s="208"/>
      <c r="F213" s="208"/>
      <c r="G213" s="208"/>
      <c r="H213" s="208"/>
      <c r="I213" s="208"/>
      <c r="J213" s="208"/>
      <c r="K213" s="208"/>
      <c r="L213" s="208"/>
      <c r="M213" s="208"/>
      <c r="N213" s="208"/>
      <c r="O213" s="208"/>
      <c r="P213" s="208"/>
      <c r="Q213" s="211"/>
    </row>
    <row r="214" ht="12.75" customHeight="1" hidden="1">
      <c r="A214" s="207"/>
      <c r="B214" s="208"/>
      <c r="C214" s="208"/>
      <c r="D214" s="208"/>
      <c r="E214" s="208"/>
      <c r="F214" s="208"/>
      <c r="G214" s="208"/>
      <c r="H214" s="208"/>
      <c r="I214" s="208"/>
      <c r="J214" s="208"/>
      <c r="K214" s="208"/>
      <c r="L214" s="208"/>
      <c r="M214" s="208"/>
      <c r="N214" s="208"/>
      <c r="O214" s="208"/>
      <c r="P214" s="208"/>
      <c r="Q214" s="211"/>
    </row>
    <row r="215" ht="12.75" customHeight="1" hidden="1">
      <c r="A215" s="207"/>
      <c r="B215" s="208"/>
      <c r="C215" s="208"/>
      <c r="D215" s="208"/>
      <c r="E215" s="208"/>
      <c r="F215" s="208"/>
      <c r="G215" s="208"/>
      <c r="H215" s="208"/>
      <c r="I215" s="208"/>
      <c r="J215" s="208"/>
      <c r="K215" s="208"/>
      <c r="L215" s="208"/>
      <c r="M215" s="208"/>
      <c r="N215" s="208"/>
      <c r="O215" s="208"/>
      <c r="P215" s="208"/>
      <c r="Q215" s="211"/>
    </row>
    <row r="216" ht="12.75" customHeight="1" hidden="1">
      <c r="A216" s="207"/>
      <c r="B216" s="208"/>
      <c r="C216" s="208"/>
      <c r="D216" s="208"/>
      <c r="E216" s="208"/>
      <c r="F216" s="208"/>
      <c r="G216" s="208"/>
      <c r="H216" s="208"/>
      <c r="I216" s="208"/>
      <c r="J216" s="208"/>
      <c r="K216" s="208"/>
      <c r="L216" s="208"/>
      <c r="M216" s="208"/>
      <c r="N216" s="208"/>
      <c r="O216" s="208"/>
      <c r="P216" s="208"/>
      <c r="Q216" s="211"/>
    </row>
    <row r="217" ht="12.75" customHeight="1" hidden="1">
      <c r="A217" s="207"/>
      <c r="B217" s="208"/>
      <c r="C217" s="208"/>
      <c r="D217" s="208"/>
      <c r="E217" s="208"/>
      <c r="F217" s="208"/>
      <c r="G217" s="208"/>
      <c r="H217" s="208"/>
      <c r="I217" s="208"/>
      <c r="J217" s="208"/>
      <c r="K217" s="208"/>
      <c r="L217" s="208"/>
      <c r="M217" s="208"/>
      <c r="N217" s="208"/>
      <c r="O217" s="208"/>
      <c r="P217" s="208"/>
      <c r="Q217" s="211"/>
    </row>
    <row r="218" ht="12.75" customHeight="1" hidden="1">
      <c r="A218" s="207"/>
      <c r="B218" s="208"/>
      <c r="C218" s="208"/>
      <c r="D218" s="208"/>
      <c r="E218" s="208"/>
      <c r="F218" s="208"/>
      <c r="G218" s="208"/>
      <c r="H218" s="208"/>
      <c r="I218" s="208"/>
      <c r="J218" s="208"/>
      <c r="K218" s="208"/>
      <c r="L218" s="208"/>
      <c r="M218" s="208"/>
      <c r="N218" s="208"/>
      <c r="O218" s="208"/>
      <c r="P218" s="208"/>
      <c r="Q218" s="211"/>
    </row>
    <row r="219" ht="12.75" customHeight="1" hidden="1">
      <c r="A219" s="207"/>
      <c r="B219" s="208"/>
      <c r="C219" s="208"/>
      <c r="D219" s="208"/>
      <c r="E219" s="208"/>
      <c r="F219" s="208"/>
      <c r="G219" s="208"/>
      <c r="H219" s="208"/>
      <c r="I219" s="208"/>
      <c r="J219" s="208"/>
      <c r="K219" s="208"/>
      <c r="L219" s="208"/>
      <c r="M219" s="208"/>
      <c r="N219" s="208"/>
      <c r="O219" s="208"/>
      <c r="P219" s="208"/>
      <c r="Q219" s="211"/>
    </row>
    <row r="220" ht="12.75" customHeight="1" hidden="1">
      <c r="A220" s="207"/>
      <c r="B220" s="208"/>
      <c r="C220" s="208"/>
      <c r="D220" s="208"/>
      <c r="E220" s="208"/>
      <c r="F220" s="208"/>
      <c r="G220" s="208"/>
      <c r="H220" s="208"/>
      <c r="I220" s="208"/>
      <c r="J220" s="208"/>
      <c r="K220" s="208"/>
      <c r="L220" s="208"/>
      <c r="M220" s="208"/>
      <c r="N220" s="208"/>
      <c r="O220" s="208"/>
      <c r="P220" s="208"/>
      <c r="Q220" s="211"/>
    </row>
    <row r="221" ht="12.75" customHeight="1" hidden="1">
      <c r="A221" s="207"/>
      <c r="B221" s="208"/>
      <c r="C221" s="208"/>
      <c r="D221" s="208"/>
      <c r="E221" s="208"/>
      <c r="F221" s="208"/>
      <c r="G221" s="208"/>
      <c r="H221" s="208"/>
      <c r="I221" s="208"/>
      <c r="J221" s="208"/>
      <c r="K221" s="208"/>
      <c r="L221" s="208"/>
      <c r="M221" s="208"/>
      <c r="N221" s="208"/>
      <c r="O221" s="208"/>
      <c r="P221" s="208"/>
      <c r="Q221" s="211"/>
    </row>
    <row r="222" ht="12.75" customHeight="1" hidden="1">
      <c r="A222" s="207"/>
      <c r="B222" s="208"/>
      <c r="C222" s="208"/>
      <c r="D222" s="208"/>
      <c r="E222" s="208"/>
      <c r="F222" s="208"/>
      <c r="G222" s="208"/>
      <c r="H222" s="208"/>
      <c r="I222" s="208"/>
      <c r="J222" s="208"/>
      <c r="K222" s="208"/>
      <c r="L222" s="208"/>
      <c r="M222" s="208"/>
      <c r="N222" s="208"/>
      <c r="O222" s="208"/>
      <c r="P222" s="208"/>
      <c r="Q222" s="211"/>
    </row>
    <row r="223" ht="12.75" customHeight="1" hidden="1">
      <c r="A223" s="207"/>
      <c r="B223" s="208"/>
      <c r="C223" s="208"/>
      <c r="D223" s="208"/>
      <c r="E223" s="208"/>
      <c r="F223" s="208"/>
      <c r="G223" s="208"/>
      <c r="H223" s="208"/>
      <c r="I223" s="208"/>
      <c r="J223" s="208"/>
      <c r="K223" s="208"/>
      <c r="L223" s="208"/>
      <c r="M223" s="208"/>
      <c r="N223" s="208"/>
      <c r="O223" s="208"/>
      <c r="P223" s="208"/>
      <c r="Q223" s="211"/>
    </row>
    <row r="224" ht="12.75" customHeight="1" hidden="1">
      <c r="A224" s="207"/>
      <c r="B224" s="208"/>
      <c r="C224" s="208"/>
      <c r="D224" s="208"/>
      <c r="E224" s="208"/>
      <c r="F224" s="208"/>
      <c r="G224" s="208"/>
      <c r="H224" s="208"/>
      <c r="I224" s="208"/>
      <c r="J224" s="208"/>
      <c r="K224" s="208"/>
      <c r="L224" s="208"/>
      <c r="M224" s="208"/>
      <c r="N224" s="208"/>
      <c r="O224" s="208"/>
      <c r="P224" s="208"/>
      <c r="Q224" s="211"/>
    </row>
    <row r="225" ht="12.75" customHeight="1" hidden="1">
      <c r="A225" s="207"/>
      <c r="B225" s="208"/>
      <c r="C225" s="208"/>
      <c r="D225" s="208"/>
      <c r="E225" s="208"/>
      <c r="F225" s="208"/>
      <c r="G225" s="208"/>
      <c r="H225" s="208"/>
      <c r="I225" s="208"/>
      <c r="J225" s="208"/>
      <c r="K225" s="208"/>
      <c r="L225" s="208"/>
      <c r="M225" s="208"/>
      <c r="N225" s="208"/>
      <c r="O225" s="208"/>
      <c r="P225" s="208"/>
      <c r="Q225" s="211"/>
    </row>
    <row r="226" ht="12.75" customHeight="1" hidden="1">
      <c r="A226" s="207"/>
      <c r="B226" s="208"/>
      <c r="C226" s="208"/>
      <c r="D226" s="208"/>
      <c r="E226" s="208"/>
      <c r="F226" s="208"/>
      <c r="G226" s="208"/>
      <c r="H226" s="208"/>
      <c r="I226" s="208"/>
      <c r="J226" s="208"/>
      <c r="K226" s="208"/>
      <c r="L226" s="208"/>
      <c r="M226" s="208"/>
      <c r="N226" s="208"/>
      <c r="O226" s="208"/>
      <c r="P226" s="208"/>
      <c r="Q226" s="211"/>
    </row>
    <row r="227" ht="12.75" customHeight="1" hidden="1">
      <c r="A227" s="207"/>
      <c r="B227" s="208"/>
      <c r="C227" s="208"/>
      <c r="D227" s="208"/>
      <c r="E227" s="208"/>
      <c r="F227" s="208"/>
      <c r="G227" s="208"/>
      <c r="H227" s="208"/>
      <c r="I227" s="208"/>
      <c r="J227" s="208"/>
      <c r="K227" s="208"/>
      <c r="L227" s="208"/>
      <c r="M227" s="208"/>
      <c r="N227" s="208"/>
      <c r="O227" s="208"/>
      <c r="P227" s="208"/>
      <c r="Q227" s="211"/>
    </row>
    <row r="228" ht="12.75" customHeight="1" hidden="1">
      <c r="A228" s="207"/>
      <c r="B228" s="208"/>
      <c r="C228" s="208"/>
      <c r="D228" s="208"/>
      <c r="E228" s="208"/>
      <c r="F228" s="208"/>
      <c r="G228" s="208"/>
      <c r="H228" s="208"/>
      <c r="I228" s="208"/>
      <c r="J228" s="208"/>
      <c r="K228" s="208"/>
      <c r="L228" s="208"/>
      <c r="M228" s="208"/>
      <c r="N228" s="208"/>
      <c r="O228" s="208"/>
      <c r="P228" s="208"/>
      <c r="Q228" s="211"/>
    </row>
    <row r="229" ht="12.75" customHeight="1" hidden="1">
      <c r="A229" s="207"/>
      <c r="B229" s="208"/>
      <c r="C229" s="208"/>
      <c r="D229" s="208"/>
      <c r="E229" s="208"/>
      <c r="F229" s="208"/>
      <c r="G229" s="208"/>
      <c r="H229" s="208"/>
      <c r="I229" s="208"/>
      <c r="J229" s="208"/>
      <c r="K229" s="208"/>
      <c r="L229" s="208"/>
      <c r="M229" s="208"/>
      <c r="N229" s="208"/>
      <c r="O229" s="208"/>
      <c r="P229" s="208"/>
      <c r="Q229" s="211"/>
    </row>
    <row r="230" ht="12.75" customHeight="1" hidden="1">
      <c r="A230" s="207"/>
      <c r="B230" s="208"/>
      <c r="C230" s="208"/>
      <c r="D230" s="208"/>
      <c r="E230" s="208"/>
      <c r="F230" s="208"/>
      <c r="G230" s="208"/>
      <c r="H230" s="208"/>
      <c r="I230" s="208"/>
      <c r="J230" s="208"/>
      <c r="K230" s="208"/>
      <c r="L230" s="208"/>
      <c r="M230" s="208"/>
      <c r="N230" s="208"/>
      <c r="O230" s="208"/>
      <c r="P230" s="208"/>
      <c r="Q230" s="211"/>
    </row>
    <row r="231" ht="12.75" customHeight="1" hidden="1">
      <c r="A231" s="207"/>
      <c r="B231" s="208"/>
      <c r="C231" s="208"/>
      <c r="D231" s="208"/>
      <c r="E231" s="208"/>
      <c r="F231" s="208"/>
      <c r="G231" s="208"/>
      <c r="H231" s="208"/>
      <c r="I231" s="208"/>
      <c r="J231" s="208"/>
      <c r="K231" s="208"/>
      <c r="L231" s="208"/>
      <c r="M231" s="208"/>
      <c r="N231" s="208"/>
      <c r="O231" s="208"/>
      <c r="P231" s="208"/>
      <c r="Q231" s="211"/>
    </row>
    <row r="232" ht="12.75" customHeight="1" hidden="1">
      <c r="A232" s="207"/>
      <c r="B232" s="208"/>
      <c r="C232" s="208"/>
      <c r="D232" s="208"/>
      <c r="E232" s="208"/>
      <c r="F232" s="208"/>
      <c r="G232" s="208"/>
      <c r="H232" s="208"/>
      <c r="I232" s="208"/>
      <c r="J232" s="208"/>
      <c r="K232" s="208"/>
      <c r="L232" s="208"/>
      <c r="M232" s="208"/>
      <c r="N232" s="208"/>
      <c r="O232" s="208"/>
      <c r="P232" s="208"/>
      <c r="Q232" s="211"/>
    </row>
    <row r="233" ht="12.75" customHeight="1" hidden="1">
      <c r="A233" s="207"/>
      <c r="B233" s="208"/>
      <c r="C233" s="208"/>
      <c r="D233" s="208"/>
      <c r="E233" s="208"/>
      <c r="F233" s="208"/>
      <c r="G233" s="208"/>
      <c r="H233" s="208"/>
      <c r="I233" s="208"/>
      <c r="J233" s="208"/>
      <c r="K233" s="208"/>
      <c r="L233" s="208"/>
      <c r="M233" s="208"/>
      <c r="N233" s="208"/>
      <c r="O233" s="208"/>
      <c r="P233" s="208"/>
      <c r="Q233" s="211"/>
    </row>
    <row r="234" ht="12.75" customHeight="1" hidden="1">
      <c r="A234" s="207"/>
      <c r="B234" s="208"/>
      <c r="C234" s="208"/>
      <c r="D234" s="208"/>
      <c r="E234" s="208"/>
      <c r="F234" s="208"/>
      <c r="G234" s="208"/>
      <c r="H234" s="208"/>
      <c r="I234" s="208"/>
      <c r="J234" s="208"/>
      <c r="K234" s="208"/>
      <c r="L234" s="208"/>
      <c r="M234" s="208"/>
      <c r="N234" s="208"/>
      <c r="O234" s="208"/>
      <c r="P234" s="208"/>
      <c r="Q234" s="211"/>
    </row>
    <row r="235" ht="12.75" customHeight="1" hidden="1">
      <c r="A235" s="207"/>
      <c r="B235" s="208"/>
      <c r="C235" s="208"/>
      <c r="D235" s="208"/>
      <c r="E235" s="208"/>
      <c r="F235" s="208"/>
      <c r="G235" s="208"/>
      <c r="H235" s="208"/>
      <c r="I235" s="208"/>
      <c r="J235" s="208"/>
      <c r="K235" s="208"/>
      <c r="L235" s="208"/>
      <c r="M235" s="208"/>
      <c r="N235" s="208"/>
      <c r="O235" s="208"/>
      <c r="P235" s="208"/>
      <c r="Q235" s="211"/>
    </row>
    <row r="236" ht="12.75" customHeight="1" hidden="1">
      <c r="A236" s="207"/>
      <c r="B236" s="208"/>
      <c r="C236" s="208"/>
      <c r="D236" s="208"/>
      <c r="E236" s="208"/>
      <c r="F236" s="208"/>
      <c r="G236" s="208"/>
      <c r="H236" s="208"/>
      <c r="I236" s="208"/>
      <c r="J236" s="208"/>
      <c r="K236" s="208"/>
      <c r="L236" s="208"/>
      <c r="M236" s="208"/>
      <c r="N236" s="208"/>
      <c r="O236" s="208"/>
      <c r="P236" s="208"/>
      <c r="Q236" s="211"/>
    </row>
    <row r="237" ht="12.75" customHeight="1" hidden="1">
      <c r="A237" s="207"/>
      <c r="B237" s="208"/>
      <c r="C237" s="208"/>
      <c r="D237" s="208"/>
      <c r="E237" s="208"/>
      <c r="F237" s="208"/>
      <c r="G237" s="208"/>
      <c r="H237" s="208"/>
      <c r="I237" s="208"/>
      <c r="J237" s="208"/>
      <c r="K237" s="208"/>
      <c r="L237" s="208"/>
      <c r="M237" s="208"/>
      <c r="N237" s="208"/>
      <c r="O237" s="208"/>
      <c r="P237" s="208"/>
      <c r="Q237" s="211"/>
    </row>
    <row r="238" ht="12.75" customHeight="1" hidden="1">
      <c r="A238" s="207"/>
      <c r="B238" s="208"/>
      <c r="C238" s="208"/>
      <c r="D238" s="208"/>
      <c r="E238" s="208"/>
      <c r="F238" s="208"/>
      <c r="G238" s="208"/>
      <c r="H238" s="208"/>
      <c r="I238" s="208"/>
      <c r="J238" s="208"/>
      <c r="K238" s="208"/>
      <c r="L238" s="208"/>
      <c r="M238" s="208"/>
      <c r="N238" s="208"/>
      <c r="O238" s="208"/>
      <c r="P238" s="208"/>
      <c r="Q238" s="211"/>
    </row>
    <row r="239" ht="12.75" customHeight="1" hidden="1">
      <c r="A239" s="207"/>
      <c r="B239" s="208"/>
      <c r="C239" s="208"/>
      <c r="D239" s="208"/>
      <c r="E239" s="208"/>
      <c r="F239" s="208"/>
      <c r="G239" s="208"/>
      <c r="H239" s="208"/>
      <c r="I239" s="208"/>
      <c r="J239" s="208"/>
      <c r="K239" s="208"/>
      <c r="L239" s="208"/>
      <c r="M239" s="208"/>
      <c r="N239" s="208"/>
      <c r="O239" s="208"/>
      <c r="P239" s="208"/>
      <c r="Q239" s="211"/>
    </row>
    <row r="240" ht="12.75" customHeight="1" hidden="1">
      <c r="A240" s="207"/>
      <c r="B240" s="208"/>
      <c r="C240" s="208"/>
      <c r="D240" s="208"/>
      <c r="E240" s="208"/>
      <c r="F240" s="208"/>
      <c r="G240" s="208"/>
      <c r="H240" s="208"/>
      <c r="I240" s="208"/>
      <c r="J240" s="208"/>
      <c r="K240" s="208"/>
      <c r="L240" s="208"/>
      <c r="M240" s="208"/>
      <c r="N240" s="208"/>
      <c r="O240" s="208"/>
      <c r="P240" s="208"/>
      <c r="Q240" s="211"/>
    </row>
    <row r="241" ht="12.75" customHeight="1" hidden="1">
      <c r="A241" s="207"/>
      <c r="B241" s="208"/>
      <c r="C241" s="208"/>
      <c r="D241" s="208"/>
      <c r="E241" s="208"/>
      <c r="F241" s="208"/>
      <c r="G241" s="208"/>
      <c r="H241" s="208"/>
      <c r="I241" s="208"/>
      <c r="J241" s="208"/>
      <c r="K241" s="208"/>
      <c r="L241" s="208"/>
      <c r="M241" s="208"/>
      <c r="N241" s="208"/>
      <c r="O241" s="208"/>
      <c r="P241" s="208"/>
      <c r="Q241" s="211"/>
    </row>
    <row r="242" ht="12.75" customHeight="1" hidden="1">
      <c r="A242" s="207"/>
      <c r="B242" s="208"/>
      <c r="C242" s="208"/>
      <c r="D242" s="208"/>
      <c r="E242" s="208"/>
      <c r="F242" s="208"/>
      <c r="G242" s="208"/>
      <c r="H242" s="208"/>
      <c r="I242" s="208"/>
      <c r="J242" s="208"/>
      <c r="K242" s="208"/>
      <c r="L242" s="208"/>
      <c r="M242" s="208"/>
      <c r="N242" s="208"/>
      <c r="O242" s="208"/>
      <c r="P242" s="208"/>
      <c r="Q242" s="211"/>
    </row>
    <row r="243" ht="12.75" customHeight="1" hidden="1">
      <c r="A243" s="207"/>
      <c r="B243" s="208"/>
      <c r="C243" s="208"/>
      <c r="D243" s="208"/>
      <c r="E243" s="208"/>
      <c r="F243" s="208"/>
      <c r="G243" s="208"/>
      <c r="H243" s="208"/>
      <c r="I243" s="208"/>
      <c r="J243" s="208"/>
      <c r="K243" s="208"/>
      <c r="L243" s="208"/>
      <c r="M243" s="208"/>
      <c r="N243" s="208"/>
      <c r="O243" s="208"/>
      <c r="P243" s="208"/>
      <c r="Q243" s="211"/>
    </row>
    <row r="244" ht="12.75" customHeight="1" hidden="1">
      <c r="A244" s="207"/>
      <c r="B244" s="208"/>
      <c r="C244" s="208"/>
      <c r="D244" s="208"/>
      <c r="E244" s="208"/>
      <c r="F244" s="208"/>
      <c r="G244" s="208"/>
      <c r="H244" s="208"/>
      <c r="I244" s="208"/>
      <c r="J244" s="208"/>
      <c r="K244" s="208"/>
      <c r="L244" s="208"/>
      <c r="M244" s="208"/>
      <c r="N244" s="208"/>
      <c r="O244" s="208"/>
      <c r="P244" s="208"/>
      <c r="Q244" s="211"/>
    </row>
    <row r="245" ht="12.75" customHeight="1" hidden="1">
      <c r="A245" s="207"/>
      <c r="B245" s="208"/>
      <c r="C245" s="208"/>
      <c r="D245" s="208"/>
      <c r="E245" s="208"/>
      <c r="F245" s="208"/>
      <c r="G245" s="208"/>
      <c r="H245" s="208"/>
      <c r="I245" s="208"/>
      <c r="J245" s="208"/>
      <c r="K245" s="208"/>
      <c r="L245" s="208"/>
      <c r="M245" s="208"/>
      <c r="N245" s="208"/>
      <c r="O245" s="208"/>
      <c r="P245" s="208"/>
      <c r="Q245" s="211"/>
    </row>
    <row r="246" ht="12.75" customHeight="1" hidden="1">
      <c r="A246" s="207"/>
      <c r="B246" s="208"/>
      <c r="C246" s="208"/>
      <c r="D246" s="208"/>
      <c r="E246" s="208"/>
      <c r="F246" s="208"/>
      <c r="G246" s="208"/>
      <c r="H246" s="208"/>
      <c r="I246" s="208"/>
      <c r="J246" s="208"/>
      <c r="K246" s="208"/>
      <c r="L246" s="208"/>
      <c r="M246" s="208"/>
      <c r="N246" s="208"/>
      <c r="O246" s="208"/>
      <c r="P246" s="208"/>
      <c r="Q246" s="211"/>
    </row>
    <row r="247" ht="12.75" customHeight="1" hidden="1">
      <c r="A247" s="207"/>
      <c r="B247" s="208"/>
      <c r="C247" s="208"/>
      <c r="D247" s="208"/>
      <c r="E247" s="208"/>
      <c r="F247" s="208"/>
      <c r="G247" s="208"/>
      <c r="H247" s="208"/>
      <c r="I247" s="208"/>
      <c r="J247" s="208"/>
      <c r="K247" s="208"/>
      <c r="L247" s="208"/>
      <c r="M247" s="208"/>
      <c r="N247" s="208"/>
      <c r="O247" s="208"/>
      <c r="P247" s="208"/>
      <c r="Q247" s="211"/>
    </row>
    <row r="248" ht="12.75" customHeight="1" hidden="1">
      <c r="A248" s="207"/>
      <c r="B248" s="208"/>
      <c r="C248" s="208"/>
      <c r="D248" s="208"/>
      <c r="E248" s="208"/>
      <c r="F248" s="208"/>
      <c r="G248" s="208"/>
      <c r="H248" s="208"/>
      <c r="I248" s="208"/>
      <c r="J248" s="208"/>
      <c r="K248" s="208"/>
      <c r="L248" s="208"/>
      <c r="M248" s="208"/>
      <c r="N248" s="208"/>
      <c r="O248" s="208"/>
      <c r="P248" s="208"/>
      <c r="Q248" s="211"/>
    </row>
    <row r="249" ht="12.75" customHeight="1" hidden="1">
      <c r="A249" s="207"/>
      <c r="B249" s="208"/>
      <c r="C249" s="208"/>
      <c r="D249" s="208"/>
      <c r="E249" s="208"/>
      <c r="F249" s="208"/>
      <c r="G249" s="208"/>
      <c r="H249" s="208"/>
      <c r="I249" s="208"/>
      <c r="J249" s="208"/>
      <c r="K249" s="208"/>
      <c r="L249" s="208"/>
      <c r="M249" s="208"/>
      <c r="N249" s="208"/>
      <c r="O249" s="208"/>
      <c r="P249" s="208"/>
      <c r="Q249" s="211"/>
    </row>
    <row r="250" ht="12.75" customHeight="1" hidden="1">
      <c r="A250" s="207"/>
      <c r="B250" s="208"/>
      <c r="C250" s="208"/>
      <c r="D250" s="208"/>
      <c r="E250" s="208"/>
      <c r="F250" s="208"/>
      <c r="G250" s="208"/>
      <c r="H250" s="208"/>
      <c r="I250" s="208"/>
      <c r="J250" s="208"/>
      <c r="K250" s="208"/>
      <c r="L250" s="208"/>
      <c r="M250" s="208"/>
      <c r="N250" s="208"/>
      <c r="O250" s="208"/>
      <c r="P250" s="208"/>
      <c r="Q250" s="211"/>
    </row>
    <row r="251" ht="12.75" customHeight="1" hidden="1">
      <c r="A251" s="207"/>
      <c r="B251" s="208"/>
      <c r="C251" s="208"/>
      <c r="D251" s="208"/>
      <c r="E251" s="208"/>
      <c r="F251" s="208"/>
      <c r="G251" s="208"/>
      <c r="H251" s="208"/>
      <c r="I251" s="208"/>
      <c r="J251" s="208"/>
      <c r="K251" s="208"/>
      <c r="L251" s="208"/>
      <c r="M251" s="208"/>
      <c r="N251" s="208"/>
      <c r="O251" s="208"/>
      <c r="P251" s="208"/>
      <c r="Q251" s="211"/>
    </row>
    <row r="252" ht="12.75" customHeight="1" hidden="1">
      <c r="A252" s="207"/>
      <c r="B252" s="208"/>
      <c r="C252" s="208"/>
      <c r="D252" s="208"/>
      <c r="E252" s="208"/>
      <c r="F252" s="208"/>
      <c r="G252" s="208"/>
      <c r="H252" s="208"/>
      <c r="I252" s="208"/>
      <c r="J252" s="208"/>
      <c r="K252" s="208"/>
      <c r="L252" s="208"/>
      <c r="M252" s="208"/>
      <c r="N252" s="208"/>
      <c r="O252" s="208"/>
      <c r="P252" s="208"/>
      <c r="Q252" s="211"/>
    </row>
    <row r="253" ht="12.75" customHeight="1" hidden="1">
      <c r="A253" s="207"/>
      <c r="B253" s="208"/>
      <c r="C253" s="208"/>
      <c r="D253" s="208"/>
      <c r="E253" s="208"/>
      <c r="F253" s="208"/>
      <c r="G253" s="208"/>
      <c r="H253" s="208"/>
      <c r="I253" s="208"/>
      <c r="J253" s="208"/>
      <c r="K253" s="208"/>
      <c r="L253" s="208"/>
      <c r="M253" s="208"/>
      <c r="N253" s="208"/>
      <c r="O253" s="208"/>
      <c r="P253" s="208"/>
      <c r="Q253" s="211"/>
    </row>
    <row r="254" ht="12.75" customHeight="1" hidden="1">
      <c r="A254" s="207"/>
      <c r="B254" s="208"/>
      <c r="C254" s="208"/>
      <c r="D254" s="208"/>
      <c r="E254" s="208"/>
      <c r="F254" s="208"/>
      <c r="G254" s="208"/>
      <c r="H254" s="208"/>
      <c r="I254" s="208"/>
      <c r="J254" s="208"/>
      <c r="K254" s="208"/>
      <c r="L254" s="208"/>
      <c r="M254" s="208"/>
      <c r="N254" s="208"/>
      <c r="O254" s="208"/>
      <c r="P254" s="208"/>
      <c r="Q254" s="211"/>
    </row>
    <row r="255" ht="12.75" customHeight="1" hidden="1">
      <c r="A255" s="207"/>
      <c r="B255" s="208"/>
      <c r="C255" s="208"/>
      <c r="D255" s="208"/>
      <c r="E255" s="208"/>
      <c r="F255" s="208"/>
      <c r="G255" s="208"/>
      <c r="H255" s="208"/>
      <c r="I255" s="208"/>
      <c r="J255" s="208"/>
      <c r="K255" s="208"/>
      <c r="L255" s="208"/>
      <c r="M255" s="208"/>
      <c r="N255" s="208"/>
      <c r="O255" s="208"/>
      <c r="P255" s="208"/>
      <c r="Q255" s="211"/>
    </row>
    <row r="256" ht="12.75" customHeight="1" hidden="1">
      <c r="A256" s="207"/>
      <c r="B256" s="208"/>
      <c r="C256" s="208"/>
      <c r="D256" s="208"/>
      <c r="E256" s="208"/>
      <c r="F256" s="208"/>
      <c r="G256" s="208"/>
      <c r="H256" s="208"/>
      <c r="I256" s="208"/>
      <c r="J256" s="208"/>
      <c r="K256" s="208"/>
      <c r="L256" s="208"/>
      <c r="M256" s="208"/>
      <c r="N256" s="208"/>
      <c r="O256" s="208"/>
      <c r="P256" s="208"/>
      <c r="Q256" s="211"/>
    </row>
    <row r="257" ht="12.75" customHeight="1" hidden="1">
      <c r="A257" s="207"/>
      <c r="B257" s="208"/>
      <c r="C257" s="208"/>
      <c r="D257" s="208"/>
      <c r="E257" s="208"/>
      <c r="F257" s="208"/>
      <c r="G257" s="208"/>
      <c r="H257" s="208"/>
      <c r="I257" s="208"/>
      <c r="J257" s="208"/>
      <c r="K257" s="208"/>
      <c r="L257" s="208"/>
      <c r="M257" s="208"/>
      <c r="N257" s="208"/>
      <c r="O257" s="208"/>
      <c r="P257" s="208"/>
      <c r="Q257" s="211"/>
    </row>
    <row r="258" ht="12.75" customHeight="1" hidden="1">
      <c r="A258" s="207"/>
      <c r="B258" s="208"/>
      <c r="C258" s="208"/>
      <c r="D258" s="208"/>
      <c r="E258" s="208"/>
      <c r="F258" s="208"/>
      <c r="G258" s="208"/>
      <c r="H258" s="208"/>
      <c r="I258" s="208"/>
      <c r="J258" s="208"/>
      <c r="K258" s="208"/>
      <c r="L258" s="208"/>
      <c r="M258" s="208"/>
      <c r="N258" s="208"/>
      <c r="O258" s="208"/>
      <c r="P258" s="208"/>
      <c r="Q258" s="211"/>
    </row>
    <row r="259" ht="12.75" customHeight="1" hidden="1">
      <c r="A259" s="207"/>
      <c r="B259" s="208"/>
      <c r="C259" s="208"/>
      <c r="D259" s="208"/>
      <c r="E259" s="208"/>
      <c r="F259" s="208"/>
      <c r="G259" s="208"/>
      <c r="H259" s="208"/>
      <c r="I259" s="208"/>
      <c r="J259" s="208"/>
      <c r="K259" s="208"/>
      <c r="L259" s="208"/>
      <c r="M259" s="208"/>
      <c r="N259" s="208"/>
      <c r="O259" s="208"/>
      <c r="P259" s="208"/>
      <c r="Q259" s="211"/>
    </row>
    <row r="260" ht="12.75" customHeight="1" hidden="1">
      <c r="A260" s="207"/>
      <c r="B260" s="208"/>
      <c r="C260" s="208"/>
      <c r="D260" s="208"/>
      <c r="E260" s="208"/>
      <c r="F260" s="208"/>
      <c r="G260" s="208"/>
      <c r="H260" s="208"/>
      <c r="I260" s="208"/>
      <c r="J260" s="208"/>
      <c r="K260" s="208"/>
      <c r="L260" s="208"/>
      <c r="M260" s="208"/>
      <c r="N260" s="208"/>
      <c r="O260" s="208"/>
      <c r="P260" s="208"/>
      <c r="Q260" s="211"/>
    </row>
    <row r="261" ht="12.75" customHeight="1" hidden="1">
      <c r="A261" s="207"/>
      <c r="B261" s="208"/>
      <c r="C261" s="208"/>
      <c r="D261" s="208"/>
      <c r="E261" s="208"/>
      <c r="F261" s="208"/>
      <c r="G261" s="208"/>
      <c r="H261" s="208"/>
      <c r="I261" s="208"/>
      <c r="J261" s="208"/>
      <c r="K261" s="208"/>
      <c r="L261" s="208"/>
      <c r="M261" s="208"/>
      <c r="N261" s="208"/>
      <c r="O261" s="208"/>
      <c r="P261" s="208"/>
      <c r="Q261" s="211"/>
    </row>
    <row r="262" ht="12.75" customHeight="1" hidden="1">
      <c r="A262" s="207"/>
      <c r="B262" s="208"/>
      <c r="C262" s="208"/>
      <c r="D262" s="208"/>
      <c r="E262" s="208"/>
      <c r="F262" s="208"/>
      <c r="G262" s="208"/>
      <c r="H262" s="208"/>
      <c r="I262" s="208"/>
      <c r="J262" s="208"/>
      <c r="K262" s="208"/>
      <c r="L262" s="208"/>
      <c r="M262" s="208"/>
      <c r="N262" s="208"/>
      <c r="O262" s="208"/>
      <c r="P262" s="208"/>
      <c r="Q262" s="211"/>
    </row>
    <row r="263" ht="12.75" customHeight="1" hidden="1">
      <c r="A263" s="207"/>
      <c r="B263" s="208"/>
      <c r="C263" s="208"/>
      <c r="D263" s="208"/>
      <c r="E263" s="208"/>
      <c r="F263" s="208"/>
      <c r="G263" s="208"/>
      <c r="H263" s="208"/>
      <c r="I263" s="208"/>
      <c r="J263" s="208"/>
      <c r="K263" s="208"/>
      <c r="L263" s="208"/>
      <c r="M263" s="208"/>
      <c r="N263" s="208"/>
      <c r="O263" s="208"/>
      <c r="P263" s="208"/>
      <c r="Q263" s="211"/>
    </row>
    <row r="264" ht="12.75" customHeight="1" hidden="1">
      <c r="A264" s="207"/>
      <c r="B264" s="208"/>
      <c r="C264" s="208"/>
      <c r="D264" s="208"/>
      <c r="E264" s="208"/>
      <c r="F264" s="208"/>
      <c r="G264" s="208"/>
      <c r="H264" s="208"/>
      <c r="I264" s="208"/>
      <c r="J264" s="208"/>
      <c r="K264" s="208"/>
      <c r="L264" s="208"/>
      <c r="M264" s="208"/>
      <c r="N264" s="208"/>
      <c r="O264" s="208"/>
      <c r="P264" s="208"/>
      <c r="Q264" s="211"/>
    </row>
    <row r="265" ht="12.75" customHeight="1" hidden="1">
      <c r="A265" s="207"/>
      <c r="B265" s="208"/>
      <c r="C265" s="208"/>
      <c r="D265" s="208"/>
      <c r="E265" s="208"/>
      <c r="F265" s="208"/>
      <c r="G265" s="208"/>
      <c r="H265" s="208"/>
      <c r="I265" s="208"/>
      <c r="J265" s="208"/>
      <c r="K265" s="208"/>
      <c r="L265" s="208"/>
      <c r="M265" s="208"/>
      <c r="N265" s="208"/>
      <c r="O265" s="208"/>
      <c r="P265" s="208"/>
      <c r="Q265" s="211"/>
    </row>
    <row r="266" ht="12.75" customHeight="1" hidden="1">
      <c r="A266" s="207"/>
      <c r="B266" s="208"/>
      <c r="C266" s="208"/>
      <c r="D266" s="208"/>
      <c r="E266" s="208"/>
      <c r="F266" s="208"/>
      <c r="G266" s="208"/>
      <c r="H266" s="208"/>
      <c r="I266" s="208"/>
      <c r="J266" s="208"/>
      <c r="K266" s="208"/>
      <c r="L266" s="208"/>
      <c r="M266" s="208"/>
      <c r="N266" s="208"/>
      <c r="O266" s="208"/>
      <c r="P266" s="208"/>
      <c r="Q266" s="211"/>
    </row>
    <row r="267" ht="12.75" customHeight="1" hidden="1">
      <c r="A267" s="207"/>
      <c r="B267" s="208"/>
      <c r="C267" s="208"/>
      <c r="D267" s="208"/>
      <c r="E267" s="208"/>
      <c r="F267" s="208"/>
      <c r="G267" s="208"/>
      <c r="H267" s="208"/>
      <c r="I267" s="208"/>
      <c r="J267" s="208"/>
      <c r="K267" s="208"/>
      <c r="L267" s="208"/>
      <c r="M267" s="208"/>
      <c r="N267" s="208"/>
      <c r="O267" s="208"/>
      <c r="P267" s="208"/>
      <c r="Q267" s="211"/>
    </row>
    <row r="268" ht="12.75" customHeight="1" hidden="1">
      <c r="A268" s="207"/>
      <c r="B268" s="208"/>
      <c r="C268" s="208"/>
      <c r="D268" s="208"/>
      <c r="E268" s="208"/>
      <c r="F268" s="208"/>
      <c r="G268" s="208"/>
      <c r="H268" s="208"/>
      <c r="I268" s="208"/>
      <c r="J268" s="208"/>
      <c r="K268" s="208"/>
      <c r="L268" s="208"/>
      <c r="M268" s="208"/>
      <c r="N268" s="208"/>
      <c r="O268" s="208"/>
      <c r="P268" s="208"/>
      <c r="Q268" s="211"/>
    </row>
    <row r="269" ht="12.75" customHeight="1" hidden="1">
      <c r="A269" s="207"/>
      <c r="B269" s="208"/>
      <c r="C269" s="208"/>
      <c r="D269" s="208"/>
      <c r="E269" s="208"/>
      <c r="F269" s="208"/>
      <c r="G269" s="208"/>
      <c r="H269" s="208"/>
      <c r="I269" s="208"/>
      <c r="J269" s="208"/>
      <c r="K269" s="208"/>
      <c r="L269" s="208"/>
      <c r="M269" s="208"/>
      <c r="N269" s="208"/>
      <c r="O269" s="208"/>
      <c r="P269" s="208"/>
      <c r="Q269" s="211"/>
    </row>
    <row r="270" ht="12.75" customHeight="1" hidden="1">
      <c r="A270" s="207"/>
      <c r="B270" s="208"/>
      <c r="C270" s="208"/>
      <c r="D270" s="208"/>
      <c r="E270" s="208"/>
      <c r="F270" s="208"/>
      <c r="G270" s="208"/>
      <c r="H270" s="208"/>
      <c r="I270" s="208"/>
      <c r="J270" s="208"/>
      <c r="K270" s="208"/>
      <c r="L270" s="208"/>
      <c r="M270" s="208"/>
      <c r="N270" s="208"/>
      <c r="O270" s="208"/>
      <c r="P270" s="208"/>
      <c r="Q270" s="211"/>
    </row>
    <row r="271" ht="12.75" customHeight="1" hidden="1">
      <c r="A271" s="207"/>
      <c r="B271" s="208"/>
      <c r="C271" s="208"/>
      <c r="D271" s="208"/>
      <c r="E271" s="208"/>
      <c r="F271" s="208"/>
      <c r="G271" s="208"/>
      <c r="H271" s="208"/>
      <c r="I271" s="208"/>
      <c r="J271" s="208"/>
      <c r="K271" s="208"/>
      <c r="L271" s="208"/>
      <c r="M271" s="208"/>
      <c r="N271" s="208"/>
      <c r="O271" s="208"/>
      <c r="P271" s="208"/>
      <c r="Q271" s="211"/>
    </row>
    <row r="272" ht="12.75" customHeight="1" hidden="1">
      <c r="A272" s="207"/>
      <c r="B272" s="208"/>
      <c r="C272" s="208"/>
      <c r="D272" s="208"/>
      <c r="E272" s="208"/>
      <c r="F272" s="208"/>
      <c r="G272" s="208"/>
      <c r="H272" s="208"/>
      <c r="I272" s="208"/>
      <c r="J272" s="208"/>
      <c r="K272" s="208"/>
      <c r="L272" s="208"/>
      <c r="M272" s="208"/>
      <c r="N272" s="208"/>
      <c r="O272" s="208"/>
      <c r="P272" s="208"/>
      <c r="Q272" s="211"/>
    </row>
    <row r="273" ht="12.75" customHeight="1" hidden="1">
      <c r="A273" s="207"/>
      <c r="B273" s="208"/>
      <c r="C273" s="208"/>
      <c r="D273" s="208"/>
      <c r="E273" s="208"/>
      <c r="F273" s="208"/>
      <c r="G273" s="208"/>
      <c r="H273" s="208"/>
      <c r="I273" s="208"/>
      <c r="J273" s="208"/>
      <c r="K273" s="208"/>
      <c r="L273" s="208"/>
      <c r="M273" s="208"/>
      <c r="N273" s="208"/>
      <c r="O273" s="208"/>
      <c r="P273" s="208"/>
      <c r="Q273" s="211"/>
    </row>
    <row r="274" ht="12.75" customHeight="1" hidden="1">
      <c r="A274" s="207"/>
      <c r="B274" s="208"/>
      <c r="C274" s="208"/>
      <c r="D274" s="208"/>
      <c r="E274" s="208"/>
      <c r="F274" s="208"/>
      <c r="G274" s="208"/>
      <c r="H274" s="208"/>
      <c r="I274" s="208"/>
      <c r="J274" s="208"/>
      <c r="K274" s="208"/>
      <c r="L274" s="208"/>
      <c r="M274" s="208"/>
      <c r="N274" s="208"/>
      <c r="O274" s="208"/>
      <c r="P274" s="208"/>
      <c r="Q274" s="211"/>
    </row>
    <row r="275" ht="12.75" customHeight="1" hidden="1">
      <c r="A275" s="207"/>
      <c r="B275" s="208"/>
      <c r="C275" s="208"/>
      <c r="D275" s="208"/>
      <c r="E275" s="208"/>
      <c r="F275" s="208"/>
      <c r="G275" s="208"/>
      <c r="H275" s="208"/>
      <c r="I275" s="208"/>
      <c r="J275" s="208"/>
      <c r="K275" s="208"/>
      <c r="L275" s="208"/>
      <c r="M275" s="208"/>
      <c r="N275" s="208"/>
      <c r="O275" s="208"/>
      <c r="P275" s="208"/>
      <c r="Q275" s="211"/>
    </row>
    <row r="276" ht="12.75" customHeight="1" hidden="1">
      <c r="A276" s="207"/>
      <c r="B276" s="208"/>
      <c r="C276" s="208"/>
      <c r="D276" s="208"/>
      <c r="E276" s="208"/>
      <c r="F276" s="208"/>
      <c r="G276" s="208"/>
      <c r="H276" s="208"/>
      <c r="I276" s="208"/>
      <c r="J276" s="208"/>
      <c r="K276" s="208"/>
      <c r="L276" s="208"/>
      <c r="M276" s="208"/>
      <c r="N276" s="208"/>
      <c r="O276" s="208"/>
      <c r="P276" s="208"/>
      <c r="Q276" s="211"/>
    </row>
    <row r="277" ht="12.75" customHeight="1" hidden="1">
      <c r="A277" s="207"/>
      <c r="B277" s="208"/>
      <c r="C277" s="208"/>
      <c r="D277" s="208"/>
      <c r="E277" s="208"/>
      <c r="F277" s="208"/>
      <c r="G277" s="208"/>
      <c r="H277" s="208"/>
      <c r="I277" s="208"/>
      <c r="J277" s="208"/>
      <c r="K277" s="208"/>
      <c r="L277" s="208"/>
      <c r="M277" s="208"/>
      <c r="N277" s="208"/>
      <c r="O277" s="208"/>
      <c r="P277" s="208"/>
      <c r="Q277" s="211"/>
    </row>
    <row r="278" ht="12.75" customHeight="1" hidden="1">
      <c r="A278" s="207"/>
      <c r="B278" s="208"/>
      <c r="C278" s="208"/>
      <c r="D278" s="208"/>
      <c r="E278" s="208"/>
      <c r="F278" s="208"/>
      <c r="G278" s="208"/>
      <c r="H278" s="208"/>
      <c r="I278" s="208"/>
      <c r="J278" s="208"/>
      <c r="K278" s="208"/>
      <c r="L278" s="208"/>
      <c r="M278" s="208"/>
      <c r="N278" s="208"/>
      <c r="O278" s="208"/>
      <c r="P278" s="208"/>
      <c r="Q278" s="211"/>
    </row>
    <row r="279" ht="12.75" customHeight="1" hidden="1">
      <c r="A279" s="207"/>
      <c r="B279" s="208"/>
      <c r="C279" s="208"/>
      <c r="D279" s="208"/>
      <c r="E279" s="208"/>
      <c r="F279" s="208"/>
      <c r="G279" s="208"/>
      <c r="H279" s="208"/>
      <c r="I279" s="208"/>
      <c r="J279" s="208"/>
      <c r="K279" s="208"/>
      <c r="L279" s="208"/>
      <c r="M279" s="208"/>
      <c r="N279" s="208"/>
      <c r="O279" s="208"/>
      <c r="P279" s="208"/>
      <c r="Q279" s="211"/>
    </row>
    <row r="280" ht="12.75" customHeight="1" hidden="1">
      <c r="A280" s="207"/>
      <c r="B280" s="208"/>
      <c r="C280" s="208"/>
      <c r="D280" s="208"/>
      <c r="E280" s="208"/>
      <c r="F280" s="208"/>
      <c r="G280" s="208"/>
      <c r="H280" s="208"/>
      <c r="I280" s="208"/>
      <c r="J280" s="208"/>
      <c r="K280" s="208"/>
      <c r="L280" s="208"/>
      <c r="M280" s="208"/>
      <c r="N280" s="208"/>
      <c r="O280" s="208"/>
      <c r="P280" s="208"/>
      <c r="Q280" s="211"/>
    </row>
    <row r="281" ht="12.75" customHeight="1" hidden="1">
      <c r="A281" s="207"/>
      <c r="B281" s="208"/>
      <c r="C281" s="208"/>
      <c r="D281" s="208"/>
      <c r="E281" s="208"/>
      <c r="F281" s="208"/>
      <c r="G281" s="208"/>
      <c r="H281" s="208"/>
      <c r="I281" s="208"/>
      <c r="J281" s="208"/>
      <c r="K281" s="208"/>
      <c r="L281" s="208"/>
      <c r="M281" s="208"/>
      <c r="N281" s="208"/>
      <c r="O281" s="208"/>
      <c r="P281" s="208"/>
      <c r="Q281" s="211"/>
    </row>
    <row r="282" ht="12.75" customHeight="1" hidden="1">
      <c r="A282" s="207"/>
      <c r="B282" s="208"/>
      <c r="C282" s="208"/>
      <c r="D282" s="208"/>
      <c r="E282" s="208"/>
      <c r="F282" s="208"/>
      <c r="G282" s="208"/>
      <c r="H282" s="208"/>
      <c r="I282" s="208"/>
      <c r="J282" s="208"/>
      <c r="K282" s="208"/>
      <c r="L282" s="208"/>
      <c r="M282" s="208"/>
      <c r="N282" s="208"/>
      <c r="O282" s="208"/>
      <c r="P282" s="208"/>
      <c r="Q282" s="211"/>
    </row>
    <row r="283" ht="12.75" customHeight="1" hidden="1">
      <c r="A283" s="207"/>
      <c r="B283" s="208"/>
      <c r="C283" s="208"/>
      <c r="D283" s="208"/>
      <c r="E283" s="208"/>
      <c r="F283" s="208"/>
      <c r="G283" s="208"/>
      <c r="H283" s="208"/>
      <c r="I283" s="208"/>
      <c r="J283" s="208"/>
      <c r="K283" s="208"/>
      <c r="L283" s="208"/>
      <c r="M283" s="208"/>
      <c r="N283" s="208"/>
      <c r="O283" s="208"/>
      <c r="P283" s="208"/>
      <c r="Q283" s="211"/>
    </row>
    <row r="284" ht="12.75" customHeight="1" hidden="1">
      <c r="A284" s="207"/>
      <c r="B284" s="208"/>
      <c r="C284" s="208"/>
      <c r="D284" s="208"/>
      <c r="E284" s="208"/>
      <c r="F284" s="208"/>
      <c r="G284" s="208"/>
      <c r="H284" s="208"/>
      <c r="I284" s="208"/>
      <c r="J284" s="208"/>
      <c r="K284" s="208"/>
      <c r="L284" s="208"/>
      <c r="M284" s="208"/>
      <c r="N284" s="208"/>
      <c r="O284" s="208"/>
      <c r="P284" s="208"/>
      <c r="Q284" s="211"/>
    </row>
    <row r="285" ht="12.75" customHeight="1" hidden="1">
      <c r="A285" s="207"/>
      <c r="B285" s="208"/>
      <c r="C285" s="208"/>
      <c r="D285" s="208"/>
      <c r="E285" s="208"/>
      <c r="F285" s="208"/>
      <c r="G285" s="208"/>
      <c r="H285" s="208"/>
      <c r="I285" s="208"/>
      <c r="J285" s="208"/>
      <c r="K285" s="208"/>
      <c r="L285" s="208"/>
      <c r="M285" s="208"/>
      <c r="N285" s="208"/>
      <c r="O285" s="208"/>
      <c r="P285" s="208"/>
      <c r="Q285" s="211"/>
    </row>
    <row r="286" ht="12.75" customHeight="1" hidden="1">
      <c r="A286" s="207"/>
      <c r="B286" s="208"/>
      <c r="C286" s="208"/>
      <c r="D286" s="208"/>
      <c r="E286" s="208"/>
      <c r="F286" s="208"/>
      <c r="G286" s="208"/>
      <c r="H286" s="208"/>
      <c r="I286" s="208"/>
      <c r="J286" s="208"/>
      <c r="K286" s="208"/>
      <c r="L286" s="208"/>
      <c r="M286" s="208"/>
      <c r="N286" s="208"/>
      <c r="O286" s="208"/>
      <c r="P286" s="208"/>
      <c r="Q286" s="211"/>
    </row>
    <row r="287" ht="12.75" customHeight="1" hidden="1">
      <c r="A287" s="207"/>
      <c r="B287" s="208"/>
      <c r="C287" s="208"/>
      <c r="D287" s="208"/>
      <c r="E287" s="208"/>
      <c r="F287" s="208"/>
      <c r="G287" s="208"/>
      <c r="H287" s="208"/>
      <c r="I287" s="208"/>
      <c r="J287" s="208"/>
      <c r="K287" s="208"/>
      <c r="L287" s="208"/>
      <c r="M287" s="208"/>
      <c r="N287" s="208"/>
      <c r="O287" s="208"/>
      <c r="P287" s="208"/>
      <c r="Q287" s="211"/>
    </row>
    <row r="288" ht="12.75" customHeight="1" hidden="1">
      <c r="A288" s="207"/>
      <c r="B288" s="208"/>
      <c r="C288" s="208"/>
      <c r="D288" s="208"/>
      <c r="E288" s="208"/>
      <c r="F288" s="208"/>
      <c r="G288" s="208"/>
      <c r="H288" s="208"/>
      <c r="I288" s="208"/>
      <c r="J288" s="208"/>
      <c r="K288" s="208"/>
      <c r="L288" s="208"/>
      <c r="M288" s="208"/>
      <c r="N288" s="208"/>
      <c r="O288" s="208"/>
      <c r="P288" s="208"/>
      <c r="Q288" s="211"/>
    </row>
    <row r="289" ht="12.75" customHeight="1" hidden="1">
      <c r="A289" s="207"/>
      <c r="B289" s="208"/>
      <c r="C289" s="208"/>
      <c r="D289" s="208"/>
      <c r="E289" s="208"/>
      <c r="F289" s="208"/>
      <c r="G289" s="208"/>
      <c r="H289" s="208"/>
      <c r="I289" s="208"/>
      <c r="J289" s="208"/>
      <c r="K289" s="208"/>
      <c r="L289" s="208"/>
      <c r="M289" s="208"/>
      <c r="N289" s="208"/>
      <c r="O289" s="208"/>
      <c r="P289" s="208"/>
      <c r="Q289" s="211"/>
    </row>
    <row r="290" ht="12.75" customHeight="1" hidden="1">
      <c r="A290" s="207"/>
      <c r="B290" s="208"/>
      <c r="C290" s="208"/>
      <c r="D290" s="208"/>
      <c r="E290" s="208"/>
      <c r="F290" s="208"/>
      <c r="G290" s="208"/>
      <c r="H290" s="208"/>
      <c r="I290" s="208"/>
      <c r="J290" s="208"/>
      <c r="K290" s="208"/>
      <c r="L290" s="208"/>
      <c r="M290" s="208"/>
      <c r="N290" s="208"/>
      <c r="O290" s="208"/>
      <c r="P290" s="208"/>
      <c r="Q290" s="211"/>
    </row>
    <row r="291" ht="12.75" customHeight="1" hidden="1">
      <c r="A291" s="207"/>
      <c r="B291" s="208"/>
      <c r="C291" s="208"/>
      <c r="D291" s="208"/>
      <c r="E291" s="208"/>
      <c r="F291" s="208"/>
      <c r="G291" s="208"/>
      <c r="H291" s="208"/>
      <c r="I291" s="208"/>
      <c r="J291" s="208"/>
      <c r="K291" s="208"/>
      <c r="L291" s="208"/>
      <c r="M291" s="208"/>
      <c r="N291" s="208"/>
      <c r="O291" s="208"/>
      <c r="P291" s="208"/>
      <c r="Q291" s="211"/>
    </row>
    <row r="292" ht="12.75" customHeight="1" hidden="1">
      <c r="A292" s="207"/>
      <c r="B292" s="208"/>
      <c r="C292" s="208"/>
      <c r="D292" s="208"/>
      <c r="E292" s="208"/>
      <c r="F292" s="208"/>
      <c r="G292" s="208"/>
      <c r="H292" s="208"/>
      <c r="I292" s="208"/>
      <c r="J292" s="208"/>
      <c r="K292" s="208"/>
      <c r="L292" s="208"/>
      <c r="M292" s="208"/>
      <c r="N292" s="208"/>
      <c r="O292" s="208"/>
      <c r="P292" s="208"/>
      <c r="Q292" s="211"/>
    </row>
    <row r="293" ht="12.75" customHeight="1" hidden="1">
      <c r="A293" s="207"/>
      <c r="B293" s="208"/>
      <c r="C293" s="208"/>
      <c r="D293" s="208"/>
      <c r="E293" s="208"/>
      <c r="F293" s="208"/>
      <c r="G293" s="208"/>
      <c r="H293" s="208"/>
      <c r="I293" s="208"/>
      <c r="J293" s="208"/>
      <c r="K293" s="208"/>
      <c r="L293" s="208"/>
      <c r="M293" s="208"/>
      <c r="N293" s="208"/>
      <c r="O293" s="208"/>
      <c r="P293" s="208"/>
      <c r="Q293" s="211"/>
    </row>
    <row r="294" ht="12.75" customHeight="1" hidden="1">
      <c r="A294" s="207"/>
      <c r="B294" s="208"/>
      <c r="C294" s="208"/>
      <c r="D294" s="208"/>
      <c r="E294" s="208"/>
      <c r="F294" s="208"/>
      <c r="G294" s="208"/>
      <c r="H294" s="208"/>
      <c r="I294" s="208"/>
      <c r="J294" s="208"/>
      <c r="K294" s="208"/>
      <c r="L294" s="208"/>
      <c r="M294" s="208"/>
      <c r="N294" s="208"/>
      <c r="O294" s="208"/>
      <c r="P294" s="208"/>
      <c r="Q294" s="211"/>
    </row>
    <row r="295" ht="12.75" customHeight="1" hidden="1">
      <c r="A295" s="207"/>
      <c r="B295" s="208"/>
      <c r="C295" s="208"/>
      <c r="D295" s="208"/>
      <c r="E295" s="208"/>
      <c r="F295" s="208"/>
      <c r="G295" s="208"/>
      <c r="H295" s="208"/>
      <c r="I295" s="208"/>
      <c r="J295" s="208"/>
      <c r="K295" s="208"/>
      <c r="L295" s="208"/>
      <c r="M295" s="208"/>
      <c r="N295" s="208"/>
      <c r="O295" s="208"/>
      <c r="P295" s="208"/>
      <c r="Q295" s="211"/>
    </row>
    <row r="296" ht="12.75" customHeight="1" hidden="1">
      <c r="A296" s="207"/>
      <c r="B296" s="208"/>
      <c r="C296" s="208"/>
      <c r="D296" s="208"/>
      <c r="E296" s="208"/>
      <c r="F296" s="208"/>
      <c r="G296" s="208"/>
      <c r="H296" s="208"/>
      <c r="I296" s="208"/>
      <c r="J296" s="208"/>
      <c r="K296" s="208"/>
      <c r="L296" s="208"/>
      <c r="M296" s="208"/>
      <c r="N296" s="208"/>
      <c r="O296" s="208"/>
      <c r="P296" s="208"/>
      <c r="Q296" s="211"/>
    </row>
    <row r="297" ht="12.75" customHeight="1" hidden="1">
      <c r="A297" s="207"/>
      <c r="B297" s="208"/>
      <c r="C297" s="208"/>
      <c r="D297" s="208"/>
      <c r="E297" s="208"/>
      <c r="F297" s="208"/>
      <c r="G297" s="208"/>
      <c r="H297" s="208"/>
      <c r="I297" s="208"/>
      <c r="J297" s="208"/>
      <c r="K297" s="208"/>
      <c r="L297" s="208"/>
      <c r="M297" s="208"/>
      <c r="N297" s="208"/>
      <c r="O297" s="208"/>
      <c r="P297" s="208"/>
      <c r="Q297" s="211"/>
    </row>
    <row r="298" ht="12.75" customHeight="1" hidden="1">
      <c r="A298" s="207"/>
      <c r="B298" s="208"/>
      <c r="C298" s="208"/>
      <c r="D298" s="208"/>
      <c r="E298" s="208"/>
      <c r="F298" s="208"/>
      <c r="G298" s="208"/>
      <c r="H298" s="208"/>
      <c r="I298" s="208"/>
      <c r="J298" s="208"/>
      <c r="K298" s="208"/>
      <c r="L298" s="208"/>
      <c r="M298" s="208"/>
      <c r="N298" s="208"/>
      <c r="O298" s="208"/>
      <c r="P298" s="208"/>
      <c r="Q298" s="211"/>
    </row>
    <row r="299" ht="12.75" customHeight="1" hidden="1">
      <c r="A299" s="207"/>
      <c r="B299" s="208"/>
      <c r="C299" s="208"/>
      <c r="D299" s="208"/>
      <c r="E299" s="208"/>
      <c r="F299" s="208"/>
      <c r="G299" s="208"/>
      <c r="H299" s="208"/>
      <c r="I299" s="208"/>
      <c r="J299" s="208"/>
      <c r="K299" s="208"/>
      <c r="L299" s="208"/>
      <c r="M299" s="208"/>
      <c r="N299" s="208"/>
      <c r="O299" s="208"/>
      <c r="P299" s="208"/>
      <c r="Q299" s="211"/>
    </row>
    <row r="300" ht="12.75" customHeight="1" hidden="1">
      <c r="A300" s="207"/>
      <c r="B300" s="208"/>
      <c r="C300" s="208"/>
      <c r="D300" s="208"/>
      <c r="E300" s="208"/>
      <c r="F300" s="208"/>
      <c r="G300" s="208"/>
      <c r="H300" s="208"/>
      <c r="I300" s="208"/>
      <c r="J300" s="208"/>
      <c r="K300" s="208"/>
      <c r="L300" s="208"/>
      <c r="M300" s="208"/>
      <c r="N300" s="208"/>
      <c r="O300" s="208"/>
      <c r="P300" s="208"/>
      <c r="Q300" s="211"/>
    </row>
    <row r="301" ht="12.75" customHeight="1" hidden="1">
      <c r="A301" s="207"/>
      <c r="B301" s="208"/>
      <c r="C301" s="208"/>
      <c r="D301" s="208"/>
      <c r="E301" s="208"/>
      <c r="F301" s="208"/>
      <c r="G301" s="208"/>
      <c r="H301" s="208"/>
      <c r="I301" s="208"/>
      <c r="J301" s="208"/>
      <c r="K301" s="208"/>
      <c r="L301" s="208"/>
      <c r="M301" s="208"/>
      <c r="N301" s="208"/>
      <c r="O301" s="208"/>
      <c r="P301" s="208"/>
      <c r="Q301" s="211"/>
    </row>
    <row r="302" ht="12.75" customHeight="1" hidden="1">
      <c r="A302" s="207"/>
      <c r="B302" s="208"/>
      <c r="C302" s="208"/>
      <c r="D302" s="208"/>
      <c r="E302" s="208"/>
      <c r="F302" s="208"/>
      <c r="G302" s="208"/>
      <c r="H302" s="208"/>
      <c r="I302" s="208"/>
      <c r="J302" s="208"/>
      <c r="K302" s="208"/>
      <c r="L302" s="208"/>
      <c r="M302" s="208"/>
      <c r="N302" s="208"/>
      <c r="O302" s="208"/>
      <c r="P302" s="208"/>
      <c r="Q302" s="211"/>
    </row>
    <row r="303" ht="12.75" customHeight="1" hidden="1">
      <c r="A303" s="207"/>
      <c r="B303" s="208"/>
      <c r="C303" s="208"/>
      <c r="D303" s="208"/>
      <c r="E303" s="208"/>
      <c r="F303" s="208"/>
      <c r="G303" s="208"/>
      <c r="H303" s="208"/>
      <c r="I303" s="208"/>
      <c r="J303" s="208"/>
      <c r="K303" s="208"/>
      <c r="L303" s="208"/>
      <c r="M303" s="208"/>
      <c r="N303" s="208"/>
      <c r="O303" s="208"/>
      <c r="P303" s="208"/>
      <c r="Q303" s="211"/>
    </row>
    <row r="304" ht="12.75" customHeight="1" hidden="1">
      <c r="A304" s="207"/>
      <c r="B304" s="208"/>
      <c r="C304" s="208"/>
      <c r="D304" s="208"/>
      <c r="E304" s="208"/>
      <c r="F304" s="208"/>
      <c r="G304" s="208"/>
      <c r="H304" s="208"/>
      <c r="I304" s="208"/>
      <c r="J304" s="208"/>
      <c r="K304" s="208"/>
      <c r="L304" s="208"/>
      <c r="M304" s="208"/>
      <c r="N304" s="208"/>
      <c r="O304" s="208"/>
      <c r="P304" s="208"/>
      <c r="Q304" s="211"/>
    </row>
    <row r="305" ht="12.75" customHeight="1" hidden="1">
      <c r="A305" s="207"/>
      <c r="B305" s="208"/>
      <c r="C305" s="208"/>
      <c r="D305" s="208"/>
      <c r="E305" s="208"/>
      <c r="F305" s="208"/>
      <c r="G305" s="208"/>
      <c r="H305" s="208"/>
      <c r="I305" s="208"/>
      <c r="J305" s="208"/>
      <c r="K305" s="208"/>
      <c r="L305" s="208"/>
      <c r="M305" s="208"/>
      <c r="N305" s="208"/>
      <c r="O305" s="208"/>
      <c r="P305" s="208"/>
      <c r="Q305" s="211"/>
    </row>
    <row r="306" ht="12.75" customHeight="1" hidden="1">
      <c r="A306" s="207"/>
      <c r="B306" s="208"/>
      <c r="C306" s="208"/>
      <c r="D306" s="208"/>
      <c r="E306" s="208"/>
      <c r="F306" s="208"/>
      <c r="G306" s="208"/>
      <c r="H306" s="208"/>
      <c r="I306" s="208"/>
      <c r="J306" s="208"/>
      <c r="K306" s="208"/>
      <c r="L306" s="208"/>
      <c r="M306" s="208"/>
      <c r="N306" s="208"/>
      <c r="O306" s="208"/>
      <c r="P306" s="208"/>
      <c r="Q306" s="211"/>
    </row>
    <row r="307" ht="12.75" customHeight="1" hidden="1">
      <c r="A307" s="207"/>
      <c r="B307" s="208"/>
      <c r="C307" s="208"/>
      <c r="D307" s="208"/>
      <c r="E307" s="208"/>
      <c r="F307" s="208"/>
      <c r="G307" s="208"/>
      <c r="H307" s="208"/>
      <c r="I307" s="208"/>
      <c r="J307" s="208"/>
      <c r="K307" s="208"/>
      <c r="L307" s="208"/>
      <c r="M307" s="208"/>
      <c r="N307" s="208"/>
      <c r="O307" s="208"/>
      <c r="P307" s="208"/>
      <c r="Q307" s="211"/>
    </row>
    <row r="308" ht="12.75" customHeight="1" hidden="1">
      <c r="A308" s="207"/>
      <c r="B308" s="208"/>
      <c r="C308" s="208"/>
      <c r="D308" s="208"/>
      <c r="E308" s="208"/>
      <c r="F308" s="208"/>
      <c r="G308" s="208"/>
      <c r="H308" s="208"/>
      <c r="I308" s="208"/>
      <c r="J308" s="208"/>
      <c r="K308" s="208"/>
      <c r="L308" s="208"/>
      <c r="M308" s="208"/>
      <c r="N308" s="208"/>
      <c r="O308" s="208"/>
      <c r="P308" s="208"/>
      <c r="Q308" s="211"/>
    </row>
    <row r="309" ht="12.75" customHeight="1" hidden="1">
      <c r="A309" s="207"/>
      <c r="B309" s="208"/>
      <c r="C309" s="208"/>
      <c r="D309" s="208"/>
      <c r="E309" s="208"/>
      <c r="F309" s="208"/>
      <c r="G309" s="208"/>
      <c r="H309" s="208"/>
      <c r="I309" s="208"/>
      <c r="J309" s="208"/>
      <c r="K309" s="208"/>
      <c r="L309" s="208"/>
      <c r="M309" s="208"/>
      <c r="N309" s="208"/>
      <c r="O309" s="208"/>
      <c r="P309" s="208"/>
      <c r="Q309" s="211"/>
    </row>
    <row r="310" ht="12.75" customHeight="1" hidden="1">
      <c r="A310" s="207"/>
      <c r="B310" s="208"/>
      <c r="C310" s="208"/>
      <c r="D310" s="208"/>
      <c r="E310" s="208"/>
      <c r="F310" s="208"/>
      <c r="G310" s="208"/>
      <c r="H310" s="208"/>
      <c r="I310" s="208"/>
      <c r="J310" s="208"/>
      <c r="K310" s="208"/>
      <c r="L310" s="208"/>
      <c r="M310" s="208"/>
      <c r="N310" s="208"/>
      <c r="O310" s="208"/>
      <c r="P310" s="208"/>
      <c r="Q310" s="211"/>
    </row>
    <row r="311" ht="12.75" customHeight="1" hidden="1">
      <c r="A311" s="207"/>
      <c r="B311" s="208"/>
      <c r="C311" s="208"/>
      <c r="D311" s="208"/>
      <c r="E311" s="208"/>
      <c r="F311" s="208"/>
      <c r="G311" s="208"/>
      <c r="H311" s="208"/>
      <c r="I311" s="208"/>
      <c r="J311" s="208"/>
      <c r="K311" s="208"/>
      <c r="L311" s="208"/>
      <c r="M311" s="208"/>
      <c r="N311" s="208"/>
      <c r="O311" s="208"/>
      <c r="P311" s="208"/>
      <c r="Q311" s="211"/>
    </row>
    <row r="312" ht="12.75" customHeight="1" hidden="1">
      <c r="A312" s="207"/>
      <c r="B312" s="208"/>
      <c r="C312" s="208"/>
      <c r="D312" s="208"/>
      <c r="E312" s="208"/>
      <c r="F312" s="208"/>
      <c r="G312" s="208"/>
      <c r="H312" s="208"/>
      <c r="I312" s="208"/>
      <c r="J312" s="208"/>
      <c r="K312" s="208"/>
      <c r="L312" s="208"/>
      <c r="M312" s="208"/>
      <c r="N312" s="208"/>
      <c r="O312" s="208"/>
      <c r="P312" s="208"/>
      <c r="Q312" s="211"/>
    </row>
    <row r="313" ht="12.75" customHeight="1" hidden="1">
      <c r="A313" s="207"/>
      <c r="B313" s="208"/>
      <c r="C313" s="208"/>
      <c r="D313" s="208"/>
      <c r="E313" s="208"/>
      <c r="F313" s="208"/>
      <c r="G313" s="208"/>
      <c r="H313" s="208"/>
      <c r="I313" s="208"/>
      <c r="J313" s="208"/>
      <c r="K313" s="208"/>
      <c r="L313" s="208"/>
      <c r="M313" s="208"/>
      <c r="N313" s="208"/>
      <c r="O313" s="208"/>
      <c r="P313" s="208"/>
      <c r="Q313" s="211"/>
    </row>
    <row r="314" ht="12.75" customHeight="1" hidden="1">
      <c r="A314" s="207"/>
      <c r="B314" s="208"/>
      <c r="C314" s="208"/>
      <c r="D314" s="208"/>
      <c r="E314" s="208"/>
      <c r="F314" s="208"/>
      <c r="G314" s="208"/>
      <c r="H314" s="208"/>
      <c r="I314" s="208"/>
      <c r="J314" s="208"/>
      <c r="K314" s="208"/>
      <c r="L314" s="208"/>
      <c r="M314" s="208"/>
      <c r="N314" s="208"/>
      <c r="O314" s="208"/>
      <c r="P314" s="208"/>
      <c r="Q314" s="211"/>
    </row>
    <row r="315" ht="12.75" customHeight="1" hidden="1">
      <c r="A315" s="207"/>
      <c r="B315" s="208"/>
      <c r="C315" s="208"/>
      <c r="D315" s="208"/>
      <c r="E315" s="208"/>
      <c r="F315" s="208"/>
      <c r="G315" s="208"/>
      <c r="H315" s="208"/>
      <c r="I315" s="208"/>
      <c r="J315" s="208"/>
      <c r="K315" s="208"/>
      <c r="L315" s="208"/>
      <c r="M315" s="208"/>
      <c r="N315" s="208"/>
      <c r="O315" s="208"/>
      <c r="P315" s="208"/>
      <c r="Q315" s="211"/>
    </row>
    <row r="316" ht="12.75" customHeight="1" hidden="1">
      <c r="A316" s="207"/>
      <c r="B316" s="208"/>
      <c r="C316" s="208"/>
      <c r="D316" s="208"/>
      <c r="E316" s="208"/>
      <c r="F316" s="208"/>
      <c r="G316" s="208"/>
      <c r="H316" s="208"/>
      <c r="I316" s="208"/>
      <c r="J316" s="208"/>
      <c r="K316" s="208"/>
      <c r="L316" s="208"/>
      <c r="M316" s="208"/>
      <c r="N316" s="208"/>
      <c r="O316" s="208"/>
      <c r="P316" s="208"/>
      <c r="Q316" s="211"/>
    </row>
    <row r="317" ht="12.75" customHeight="1" hidden="1">
      <c r="A317" s="207"/>
      <c r="B317" s="208"/>
      <c r="C317" s="208"/>
      <c r="D317" s="208"/>
      <c r="E317" s="208"/>
      <c r="F317" s="208"/>
      <c r="G317" s="208"/>
      <c r="H317" s="208"/>
      <c r="I317" s="208"/>
      <c r="J317" s="208"/>
      <c r="K317" s="208"/>
      <c r="L317" s="208"/>
      <c r="M317" s="208"/>
      <c r="N317" s="208"/>
      <c r="O317" s="208"/>
      <c r="P317" s="208"/>
      <c r="Q317" s="211"/>
    </row>
    <row r="318" ht="12.75" customHeight="1" hidden="1">
      <c r="A318" s="207"/>
      <c r="B318" s="208"/>
      <c r="C318" s="208"/>
      <c r="D318" s="208"/>
      <c r="E318" s="208"/>
      <c r="F318" s="208"/>
      <c r="G318" s="208"/>
      <c r="H318" s="208"/>
      <c r="I318" s="208"/>
      <c r="J318" s="208"/>
      <c r="K318" s="208"/>
      <c r="L318" s="208"/>
      <c r="M318" s="208"/>
      <c r="N318" s="208"/>
      <c r="O318" s="208"/>
      <c r="P318" s="208"/>
      <c r="Q318" s="211"/>
    </row>
    <row r="319" ht="12.75" customHeight="1" hidden="1">
      <c r="A319" s="207"/>
      <c r="B319" s="208"/>
      <c r="C319" s="208"/>
      <c r="D319" s="208"/>
      <c r="E319" s="208"/>
      <c r="F319" s="208"/>
      <c r="G319" s="208"/>
      <c r="H319" s="208"/>
      <c r="I319" s="208"/>
      <c r="J319" s="208"/>
      <c r="K319" s="208"/>
      <c r="L319" s="208"/>
      <c r="M319" s="208"/>
      <c r="N319" s="208"/>
      <c r="O319" s="208"/>
      <c r="P319" s="208"/>
      <c r="Q319" s="211"/>
    </row>
    <row r="320" ht="12.75" customHeight="1" hidden="1">
      <c r="A320" s="207"/>
      <c r="B320" s="208"/>
      <c r="C320" s="208"/>
      <c r="D320" s="208"/>
      <c r="E320" s="208"/>
      <c r="F320" s="208"/>
      <c r="G320" s="208"/>
      <c r="H320" s="208"/>
      <c r="I320" s="208"/>
      <c r="J320" s="208"/>
      <c r="K320" s="208"/>
      <c r="L320" s="208"/>
      <c r="M320" s="208"/>
      <c r="N320" s="208"/>
      <c r="O320" s="208"/>
      <c r="P320" s="208"/>
      <c r="Q320" s="211"/>
    </row>
    <row r="321" ht="12.75" customHeight="1" hidden="1">
      <c r="A321" s="207"/>
      <c r="B321" s="208"/>
      <c r="C321" s="208"/>
      <c r="D321" s="208"/>
      <c r="E321" s="208"/>
      <c r="F321" s="208"/>
      <c r="G321" s="208"/>
      <c r="H321" s="208"/>
      <c r="I321" s="208"/>
      <c r="J321" s="208"/>
      <c r="K321" s="208"/>
      <c r="L321" s="208"/>
      <c r="M321" s="208"/>
      <c r="N321" s="208"/>
      <c r="O321" s="208"/>
      <c r="P321" s="208"/>
      <c r="Q321" s="211"/>
    </row>
    <row r="322" ht="12.75" customHeight="1" hidden="1">
      <c r="A322" s="207"/>
      <c r="B322" s="208"/>
      <c r="C322" s="208"/>
      <c r="D322" s="208"/>
      <c r="E322" s="208"/>
      <c r="F322" s="208"/>
      <c r="G322" s="208"/>
      <c r="H322" s="208"/>
      <c r="I322" s="208"/>
      <c r="J322" s="208"/>
      <c r="K322" s="208"/>
      <c r="L322" s="208"/>
      <c r="M322" s="208"/>
      <c r="N322" s="208"/>
      <c r="O322" s="208"/>
      <c r="P322" s="208"/>
      <c r="Q322" s="211"/>
    </row>
    <row r="323" ht="12.75" customHeight="1" hidden="1">
      <c r="A323" s="207"/>
      <c r="B323" s="208"/>
      <c r="C323" s="208"/>
      <c r="D323" s="208"/>
      <c r="E323" s="208"/>
      <c r="F323" s="208"/>
      <c r="G323" s="208"/>
      <c r="H323" s="208"/>
      <c r="I323" s="208"/>
      <c r="J323" s="208"/>
      <c r="K323" s="208"/>
      <c r="L323" s="208"/>
      <c r="M323" s="208"/>
      <c r="N323" s="208"/>
      <c r="O323" s="208"/>
      <c r="P323" s="208"/>
      <c r="Q323" s="211"/>
    </row>
    <row r="324" ht="12.75" customHeight="1" hidden="1">
      <c r="A324" s="207"/>
      <c r="B324" s="208"/>
      <c r="C324" s="208"/>
      <c r="D324" s="208"/>
      <c r="E324" s="208"/>
      <c r="F324" s="208"/>
      <c r="G324" s="208"/>
      <c r="H324" s="208"/>
      <c r="I324" s="208"/>
      <c r="J324" s="208"/>
      <c r="K324" s="208"/>
      <c r="L324" s="208"/>
      <c r="M324" s="208"/>
      <c r="N324" s="208"/>
      <c r="O324" s="208"/>
      <c r="P324" s="208"/>
      <c r="Q324" s="211"/>
    </row>
    <row r="325" ht="12.75" customHeight="1" hidden="1">
      <c r="A325" s="207"/>
      <c r="B325" s="208"/>
      <c r="C325" s="208"/>
      <c r="D325" s="208"/>
      <c r="E325" s="208"/>
      <c r="F325" s="208"/>
      <c r="G325" s="208"/>
      <c r="H325" s="208"/>
      <c r="I325" s="208"/>
      <c r="J325" s="208"/>
      <c r="K325" s="208"/>
      <c r="L325" s="208"/>
      <c r="M325" s="208"/>
      <c r="N325" s="208"/>
      <c r="O325" s="208"/>
      <c r="P325" s="208"/>
      <c r="Q325" s="211"/>
    </row>
    <row r="326" ht="12.75" customHeight="1" hidden="1">
      <c r="A326" s="207"/>
      <c r="B326" s="208"/>
      <c r="C326" s="208"/>
      <c r="D326" s="208"/>
      <c r="E326" s="208"/>
      <c r="F326" s="208"/>
      <c r="G326" s="208"/>
      <c r="H326" s="208"/>
      <c r="I326" s="208"/>
      <c r="J326" s="208"/>
      <c r="K326" s="208"/>
      <c r="L326" s="208"/>
      <c r="M326" s="208"/>
      <c r="N326" s="208"/>
      <c r="O326" s="208"/>
      <c r="P326" s="208"/>
      <c r="Q326" s="211"/>
    </row>
    <row r="327" ht="12.75" customHeight="1" hidden="1">
      <c r="A327" s="207"/>
      <c r="B327" s="208"/>
      <c r="C327" s="208"/>
      <c r="D327" s="208"/>
      <c r="E327" s="208"/>
      <c r="F327" s="208"/>
      <c r="G327" s="208"/>
      <c r="H327" s="208"/>
      <c r="I327" s="208"/>
      <c r="J327" s="208"/>
      <c r="K327" s="208"/>
      <c r="L327" s="208"/>
      <c r="M327" s="208"/>
      <c r="N327" s="208"/>
      <c r="O327" s="208"/>
      <c r="P327" s="208"/>
      <c r="Q327" s="211"/>
    </row>
    <row r="328" ht="12.75" customHeight="1" hidden="1">
      <c r="A328" s="207"/>
      <c r="B328" s="208"/>
      <c r="C328" s="208"/>
      <c r="D328" s="208"/>
      <c r="E328" s="208"/>
      <c r="F328" s="208"/>
      <c r="G328" s="208"/>
      <c r="H328" s="208"/>
      <c r="I328" s="208"/>
      <c r="J328" s="208"/>
      <c r="K328" s="208"/>
      <c r="L328" s="208"/>
      <c r="M328" s="208"/>
      <c r="N328" s="208"/>
      <c r="O328" s="208"/>
      <c r="P328" s="208"/>
      <c r="Q328" s="211"/>
    </row>
    <row r="329" ht="12.75" customHeight="1" hidden="1">
      <c r="A329" s="207"/>
      <c r="B329" s="208"/>
      <c r="C329" s="208"/>
      <c r="D329" s="208"/>
      <c r="E329" s="208"/>
      <c r="F329" s="208"/>
      <c r="G329" s="208"/>
      <c r="H329" s="208"/>
      <c r="I329" s="208"/>
      <c r="J329" s="208"/>
      <c r="K329" s="208"/>
      <c r="L329" s="208"/>
      <c r="M329" s="208"/>
      <c r="N329" s="208"/>
      <c r="O329" s="208"/>
      <c r="P329" s="208"/>
      <c r="Q329" s="211"/>
    </row>
    <row r="330" ht="12.75" customHeight="1" hidden="1">
      <c r="A330" s="207"/>
      <c r="B330" s="208"/>
      <c r="C330" s="208"/>
      <c r="D330" s="208"/>
      <c r="E330" s="208"/>
      <c r="F330" s="208"/>
      <c r="G330" s="208"/>
      <c r="H330" s="208"/>
      <c r="I330" s="208"/>
      <c r="J330" s="208"/>
      <c r="K330" s="208"/>
      <c r="L330" s="208"/>
      <c r="M330" s="208"/>
      <c r="N330" s="208"/>
      <c r="O330" s="208"/>
      <c r="P330" s="208"/>
      <c r="Q330" s="211"/>
    </row>
    <row r="331" ht="12.75" customHeight="1" hidden="1">
      <c r="A331" s="207"/>
      <c r="B331" s="208"/>
      <c r="C331" s="208"/>
      <c r="D331" s="208"/>
      <c r="E331" s="208"/>
      <c r="F331" s="208"/>
      <c r="G331" s="208"/>
      <c r="H331" s="208"/>
      <c r="I331" s="208"/>
      <c r="J331" s="208"/>
      <c r="K331" s="208"/>
      <c r="L331" s="208"/>
      <c r="M331" s="208"/>
      <c r="N331" s="208"/>
      <c r="O331" s="208"/>
      <c r="P331" s="208"/>
      <c r="Q331" s="211"/>
    </row>
    <row r="332" ht="12.75" customHeight="1" hidden="1">
      <c r="A332" s="207"/>
      <c r="B332" s="208"/>
      <c r="C332" s="208"/>
      <c r="D332" s="208"/>
      <c r="E332" s="208"/>
      <c r="F332" s="208"/>
      <c r="G332" s="208"/>
      <c r="H332" s="208"/>
      <c r="I332" s="208"/>
      <c r="J332" s="208"/>
      <c r="K332" s="208"/>
      <c r="L332" s="208"/>
      <c r="M332" s="208"/>
      <c r="N332" s="208"/>
      <c r="O332" s="208"/>
      <c r="P332" s="208"/>
      <c r="Q332" s="211"/>
    </row>
    <row r="333" ht="12.75" customHeight="1" hidden="1">
      <c r="A333" s="207"/>
      <c r="B333" s="208"/>
      <c r="C333" s="208"/>
      <c r="D333" s="208"/>
      <c r="E333" s="208"/>
      <c r="F333" s="208"/>
      <c r="G333" s="208"/>
      <c r="H333" s="208"/>
      <c r="I333" s="208"/>
      <c r="J333" s="208"/>
      <c r="K333" s="208"/>
      <c r="L333" s="208"/>
      <c r="M333" s="208"/>
      <c r="N333" s="208"/>
      <c r="O333" s="208"/>
      <c r="P333" s="208"/>
      <c r="Q333" s="211"/>
    </row>
    <row r="334" ht="12.75" customHeight="1" hidden="1">
      <c r="A334" s="207"/>
      <c r="B334" s="208"/>
      <c r="C334" s="208"/>
      <c r="D334" s="208"/>
      <c r="E334" s="208"/>
      <c r="F334" s="208"/>
      <c r="G334" s="208"/>
      <c r="H334" s="208"/>
      <c r="I334" s="208"/>
      <c r="J334" s="208"/>
      <c r="K334" s="208"/>
      <c r="L334" s="208"/>
      <c r="M334" s="208"/>
      <c r="N334" s="208"/>
      <c r="O334" s="208"/>
      <c r="P334" s="208"/>
      <c r="Q334" s="211"/>
    </row>
    <row r="335" ht="12.75" customHeight="1" hidden="1">
      <c r="A335" s="207"/>
      <c r="B335" s="208"/>
      <c r="C335" s="208"/>
      <c r="D335" s="208"/>
      <c r="E335" s="208"/>
      <c r="F335" s="208"/>
      <c r="G335" s="208"/>
      <c r="H335" s="208"/>
      <c r="I335" s="208"/>
      <c r="J335" s="208"/>
      <c r="K335" s="208"/>
      <c r="L335" s="208"/>
      <c r="M335" s="208"/>
      <c r="N335" s="208"/>
      <c r="O335" s="208"/>
      <c r="P335" s="208"/>
      <c r="Q335" s="211"/>
    </row>
    <row r="336" ht="12.75" customHeight="1" hidden="1">
      <c r="A336" s="207"/>
      <c r="B336" s="208"/>
      <c r="C336" s="208"/>
      <c r="D336" s="208"/>
      <c r="E336" s="208"/>
      <c r="F336" s="208"/>
      <c r="G336" s="208"/>
      <c r="H336" s="208"/>
      <c r="I336" s="208"/>
      <c r="J336" s="208"/>
      <c r="K336" s="208"/>
      <c r="L336" s="208"/>
      <c r="M336" s="208"/>
      <c r="N336" s="208"/>
      <c r="O336" s="208"/>
      <c r="P336" s="208"/>
      <c r="Q336" s="211"/>
    </row>
    <row r="337" ht="12.75" customHeight="1" hidden="1">
      <c r="A337" s="207"/>
      <c r="B337" s="208"/>
      <c r="C337" s="208"/>
      <c r="D337" s="208"/>
      <c r="E337" s="208"/>
      <c r="F337" s="208"/>
      <c r="G337" s="208"/>
      <c r="H337" s="208"/>
      <c r="I337" s="208"/>
      <c r="J337" s="208"/>
      <c r="K337" s="208"/>
      <c r="L337" s="208"/>
      <c r="M337" s="208"/>
      <c r="N337" s="208"/>
      <c r="O337" s="208"/>
      <c r="P337" s="208"/>
      <c r="Q337" s="211"/>
    </row>
    <row r="338" ht="12.75" customHeight="1" hidden="1">
      <c r="A338" s="207"/>
      <c r="B338" s="208"/>
      <c r="C338" s="208"/>
      <c r="D338" s="208"/>
      <c r="E338" s="208"/>
      <c r="F338" s="208"/>
      <c r="G338" s="208"/>
      <c r="H338" s="208"/>
      <c r="I338" s="208"/>
      <c r="J338" s="208"/>
      <c r="K338" s="208"/>
      <c r="L338" s="208"/>
      <c r="M338" s="208"/>
      <c r="N338" s="208"/>
      <c r="O338" s="208"/>
      <c r="P338" s="208"/>
      <c r="Q338" s="211"/>
    </row>
    <row r="339" ht="12.75" customHeight="1" hidden="1">
      <c r="A339" s="207"/>
      <c r="B339" s="208"/>
      <c r="C339" s="208"/>
      <c r="D339" s="208"/>
      <c r="E339" s="208"/>
      <c r="F339" s="208"/>
      <c r="G339" s="208"/>
      <c r="H339" s="208"/>
      <c r="I339" s="208"/>
      <c r="J339" s="208"/>
      <c r="K339" s="208"/>
      <c r="L339" s="208"/>
      <c r="M339" s="208"/>
      <c r="N339" s="208"/>
      <c r="O339" s="208"/>
      <c r="P339" s="208"/>
      <c r="Q339" s="211"/>
    </row>
    <row r="340" ht="12.75" customHeight="1" hidden="1">
      <c r="A340" s="207"/>
      <c r="B340" s="208"/>
      <c r="C340" s="208"/>
      <c r="D340" s="208"/>
      <c r="E340" s="208"/>
      <c r="F340" s="208"/>
      <c r="G340" s="208"/>
      <c r="H340" s="208"/>
      <c r="I340" s="208"/>
      <c r="J340" s="208"/>
      <c r="K340" s="208"/>
      <c r="L340" s="208"/>
      <c r="M340" s="208"/>
      <c r="N340" s="208"/>
      <c r="O340" s="208"/>
      <c r="P340" s="208"/>
      <c r="Q340" s="211"/>
    </row>
    <row r="341" ht="12.75" customHeight="1" hidden="1">
      <c r="A341" s="207"/>
      <c r="B341" s="208"/>
      <c r="C341" s="208"/>
      <c r="D341" s="208"/>
      <c r="E341" s="208"/>
      <c r="F341" s="208"/>
      <c r="G341" s="208"/>
      <c r="H341" s="208"/>
      <c r="I341" s="208"/>
      <c r="J341" s="208"/>
      <c r="K341" s="208"/>
      <c r="L341" s="208"/>
      <c r="M341" s="208"/>
      <c r="N341" s="208"/>
      <c r="O341" s="208"/>
      <c r="P341" s="208"/>
      <c r="Q341" s="211"/>
    </row>
    <row r="342" ht="12.75" customHeight="1" hidden="1">
      <c r="A342" s="207"/>
      <c r="B342" s="208"/>
      <c r="C342" s="208"/>
      <c r="D342" s="208"/>
      <c r="E342" s="208"/>
      <c r="F342" s="208"/>
      <c r="G342" s="208"/>
      <c r="H342" s="208"/>
      <c r="I342" s="208"/>
      <c r="J342" s="208"/>
      <c r="K342" s="208"/>
      <c r="L342" s="208"/>
      <c r="M342" s="208"/>
      <c r="N342" s="208"/>
      <c r="O342" s="208"/>
      <c r="P342" s="208"/>
      <c r="Q342" s="211"/>
    </row>
    <row r="343" ht="12.75" customHeight="1" hidden="1">
      <c r="A343" s="207"/>
      <c r="B343" s="208"/>
      <c r="C343" s="208"/>
      <c r="D343" s="208"/>
      <c r="E343" s="208"/>
      <c r="F343" s="208"/>
      <c r="G343" s="208"/>
      <c r="H343" s="208"/>
      <c r="I343" s="208"/>
      <c r="J343" s="208"/>
      <c r="K343" s="208"/>
      <c r="L343" s="208"/>
      <c r="M343" s="208"/>
      <c r="N343" s="208"/>
      <c r="O343" s="208"/>
      <c r="P343" s="208"/>
      <c r="Q343" s="211"/>
    </row>
    <row r="344" ht="12.75" customHeight="1" hidden="1">
      <c r="A344" s="207"/>
      <c r="B344" s="208"/>
      <c r="C344" s="208"/>
      <c r="D344" s="208"/>
      <c r="E344" s="208"/>
      <c r="F344" s="208"/>
      <c r="G344" s="208"/>
      <c r="H344" s="208"/>
      <c r="I344" s="208"/>
      <c r="J344" s="208"/>
      <c r="K344" s="208"/>
      <c r="L344" s="208"/>
      <c r="M344" s="208"/>
      <c r="N344" s="208"/>
      <c r="O344" s="208"/>
      <c r="P344" s="208"/>
      <c r="Q344" s="211"/>
    </row>
    <row r="345" ht="12.75" customHeight="1" hidden="1">
      <c r="A345" s="207"/>
      <c r="B345" s="208"/>
      <c r="C345" s="208"/>
      <c r="D345" s="208"/>
      <c r="E345" s="208"/>
      <c r="F345" s="208"/>
      <c r="G345" s="208"/>
      <c r="H345" s="208"/>
      <c r="I345" s="208"/>
      <c r="J345" s="208"/>
      <c r="K345" s="208"/>
      <c r="L345" s="208"/>
      <c r="M345" s="208"/>
      <c r="N345" s="208"/>
      <c r="O345" s="208"/>
      <c r="P345" s="208"/>
      <c r="Q345" s="211"/>
    </row>
    <row r="346" ht="12.75" customHeight="1" hidden="1">
      <c r="A346" s="207"/>
      <c r="B346" s="208"/>
      <c r="C346" s="208"/>
      <c r="D346" s="208"/>
      <c r="E346" s="208"/>
      <c r="F346" s="208"/>
      <c r="G346" s="208"/>
      <c r="H346" s="208"/>
      <c r="I346" s="208"/>
      <c r="J346" s="208"/>
      <c r="K346" s="208"/>
      <c r="L346" s="208"/>
      <c r="M346" s="208"/>
      <c r="N346" s="208"/>
      <c r="O346" s="208"/>
      <c r="P346" s="208"/>
      <c r="Q346" s="211"/>
    </row>
    <row r="347" ht="12.75" customHeight="1" hidden="1">
      <c r="A347" s="207"/>
      <c r="B347" s="208"/>
      <c r="C347" s="208"/>
      <c r="D347" s="208"/>
      <c r="E347" s="208"/>
      <c r="F347" s="208"/>
      <c r="G347" s="208"/>
      <c r="H347" s="208"/>
      <c r="I347" s="208"/>
      <c r="J347" s="208"/>
      <c r="K347" s="208"/>
      <c r="L347" s="208"/>
      <c r="M347" s="208"/>
      <c r="N347" s="208"/>
      <c r="O347" s="208"/>
      <c r="P347" s="208"/>
      <c r="Q347" s="211"/>
    </row>
    <row r="348" ht="12.75" customHeight="1" hidden="1">
      <c r="A348" s="207"/>
      <c r="B348" s="208"/>
      <c r="C348" s="208"/>
      <c r="D348" s="208"/>
      <c r="E348" s="208"/>
      <c r="F348" s="208"/>
      <c r="G348" s="208"/>
      <c r="H348" s="208"/>
      <c r="I348" s="208"/>
      <c r="J348" s="208"/>
      <c r="K348" s="208"/>
      <c r="L348" s="208"/>
      <c r="M348" s="208"/>
      <c r="N348" s="208"/>
      <c r="O348" s="208"/>
      <c r="P348" s="208"/>
      <c r="Q348" s="211"/>
    </row>
    <row r="349" ht="12.75" customHeight="1" hidden="1">
      <c r="A349" s="207"/>
      <c r="B349" s="208"/>
      <c r="C349" s="208"/>
      <c r="D349" s="208"/>
      <c r="E349" s="208"/>
      <c r="F349" s="208"/>
      <c r="G349" s="208"/>
      <c r="H349" s="208"/>
      <c r="I349" s="208"/>
      <c r="J349" s="208"/>
      <c r="K349" s="208"/>
      <c r="L349" s="208"/>
      <c r="M349" s="208"/>
      <c r="N349" s="208"/>
      <c r="O349" s="208"/>
      <c r="P349" s="208"/>
      <c r="Q349" s="211"/>
    </row>
    <row r="350" ht="12.75" customHeight="1" hidden="1">
      <c r="A350" s="207"/>
      <c r="B350" s="208"/>
      <c r="C350" s="208"/>
      <c r="D350" s="208"/>
      <c r="E350" s="208"/>
      <c r="F350" s="208"/>
      <c r="G350" s="208"/>
      <c r="H350" s="208"/>
      <c r="I350" s="208"/>
      <c r="J350" s="208"/>
      <c r="K350" s="208"/>
      <c r="L350" s="208"/>
      <c r="M350" s="208"/>
      <c r="N350" s="208"/>
      <c r="O350" s="208"/>
      <c r="P350" s="208"/>
      <c r="Q350" s="211"/>
    </row>
    <row r="351" ht="12.75" customHeight="1" hidden="1">
      <c r="A351" s="207"/>
      <c r="B351" s="208"/>
      <c r="C351" s="208"/>
      <c r="D351" s="208"/>
      <c r="E351" s="208"/>
      <c r="F351" s="208"/>
      <c r="G351" s="208"/>
      <c r="H351" s="208"/>
      <c r="I351" s="208"/>
      <c r="J351" s="208"/>
      <c r="K351" s="208"/>
      <c r="L351" s="208"/>
      <c r="M351" s="208"/>
      <c r="N351" s="208"/>
      <c r="O351" s="208"/>
      <c r="P351" s="208"/>
      <c r="Q351" s="211"/>
    </row>
    <row r="352" ht="12.75" customHeight="1" hidden="1">
      <c r="A352" s="207"/>
      <c r="B352" s="208"/>
      <c r="C352" s="208"/>
      <c r="D352" s="208"/>
      <c r="E352" s="208"/>
      <c r="F352" s="208"/>
      <c r="G352" s="208"/>
      <c r="H352" s="208"/>
      <c r="I352" s="208"/>
      <c r="J352" s="208"/>
      <c r="K352" s="208"/>
      <c r="L352" s="208"/>
      <c r="M352" s="208"/>
      <c r="N352" s="208"/>
      <c r="O352" s="208"/>
      <c r="P352" s="208"/>
      <c r="Q352" s="211"/>
    </row>
    <row r="353" ht="12.75" customHeight="1" hidden="1">
      <c r="A353" s="207"/>
      <c r="B353" s="208"/>
      <c r="C353" s="208"/>
      <c r="D353" s="208"/>
      <c r="E353" s="208"/>
      <c r="F353" s="208"/>
      <c r="G353" s="208"/>
      <c r="H353" s="208"/>
      <c r="I353" s="208"/>
      <c r="J353" s="208"/>
      <c r="K353" s="208"/>
      <c r="L353" s="208"/>
      <c r="M353" s="208"/>
      <c r="N353" s="208"/>
      <c r="O353" s="208"/>
      <c r="P353" s="208"/>
      <c r="Q353" s="211"/>
    </row>
    <row r="354" ht="12.75" customHeight="1" hidden="1">
      <c r="A354" s="207"/>
      <c r="B354" s="208"/>
      <c r="C354" s="208"/>
      <c r="D354" s="208"/>
      <c r="E354" s="208"/>
      <c r="F354" s="208"/>
      <c r="G354" s="208"/>
      <c r="H354" s="208"/>
      <c r="I354" s="208"/>
      <c r="J354" s="208"/>
      <c r="K354" s="208"/>
      <c r="L354" s="208"/>
      <c r="M354" s="208"/>
      <c r="N354" s="208"/>
      <c r="O354" s="208"/>
      <c r="P354" s="208"/>
      <c r="Q354" s="211"/>
    </row>
    <row r="355" ht="12.75" customHeight="1" hidden="1">
      <c r="A355" s="207"/>
      <c r="B355" s="208"/>
      <c r="C355" s="208"/>
      <c r="D355" s="208"/>
      <c r="E355" s="208"/>
      <c r="F355" s="208"/>
      <c r="G355" s="208"/>
      <c r="H355" s="208"/>
      <c r="I355" s="208"/>
      <c r="J355" s="208"/>
      <c r="K355" s="208"/>
      <c r="L355" s="208"/>
      <c r="M355" s="208"/>
      <c r="N355" s="208"/>
      <c r="O355" s="208"/>
      <c r="P355" s="208"/>
      <c r="Q355" s="211"/>
    </row>
    <row r="356" ht="12.75" customHeight="1" hidden="1">
      <c r="A356" s="207"/>
      <c r="B356" s="208"/>
      <c r="C356" s="208"/>
      <c r="D356" s="208"/>
      <c r="E356" s="208"/>
      <c r="F356" s="208"/>
      <c r="G356" s="208"/>
      <c r="H356" s="208"/>
      <c r="I356" s="208"/>
      <c r="J356" s="208"/>
      <c r="K356" s="208"/>
      <c r="L356" s="208"/>
      <c r="M356" s="208"/>
      <c r="N356" s="208"/>
      <c r="O356" s="208"/>
      <c r="P356" s="208"/>
      <c r="Q356" s="211"/>
    </row>
    <row r="357" ht="12.75" customHeight="1" hidden="1">
      <c r="A357" s="207"/>
      <c r="B357" s="208"/>
      <c r="C357" s="208"/>
      <c r="D357" s="208"/>
      <c r="E357" s="208"/>
      <c r="F357" s="208"/>
      <c r="G357" s="208"/>
      <c r="H357" s="208"/>
      <c r="I357" s="208"/>
      <c r="J357" s="208"/>
      <c r="K357" s="208"/>
      <c r="L357" s="208"/>
      <c r="M357" s="208"/>
      <c r="N357" s="208"/>
      <c r="O357" s="208"/>
      <c r="P357" s="208"/>
      <c r="Q357" s="211"/>
    </row>
    <row r="358" ht="12.75" customHeight="1" hidden="1">
      <c r="A358" s="207"/>
      <c r="B358" s="208"/>
      <c r="C358" s="208"/>
      <c r="D358" s="208"/>
      <c r="E358" s="208"/>
      <c r="F358" s="208"/>
      <c r="G358" s="208"/>
      <c r="H358" s="208"/>
      <c r="I358" s="208"/>
      <c r="J358" s="208"/>
      <c r="K358" s="208"/>
      <c r="L358" s="208"/>
      <c r="M358" s="208"/>
      <c r="N358" s="208"/>
      <c r="O358" s="208"/>
      <c r="P358" s="208"/>
      <c r="Q358" s="211"/>
    </row>
    <row r="359" ht="12.75" customHeight="1" hidden="1">
      <c r="A359" s="207"/>
      <c r="B359" s="208"/>
      <c r="C359" s="208"/>
      <c r="D359" s="208"/>
      <c r="E359" s="208"/>
      <c r="F359" s="208"/>
      <c r="G359" s="208"/>
      <c r="H359" s="208"/>
      <c r="I359" s="208"/>
      <c r="J359" s="208"/>
      <c r="K359" s="208"/>
      <c r="L359" s="208"/>
      <c r="M359" s="208"/>
      <c r="N359" s="208"/>
      <c r="O359" s="208"/>
      <c r="P359" s="208"/>
      <c r="Q359" s="211"/>
    </row>
    <row r="360" ht="12.75" customHeight="1" hidden="1">
      <c r="A360" s="207"/>
      <c r="B360" s="208"/>
      <c r="C360" s="208"/>
      <c r="D360" s="208"/>
      <c r="E360" s="208"/>
      <c r="F360" s="208"/>
      <c r="G360" s="208"/>
      <c r="H360" s="208"/>
      <c r="I360" s="208"/>
      <c r="J360" s="208"/>
      <c r="K360" s="208"/>
      <c r="L360" s="208"/>
      <c r="M360" s="208"/>
      <c r="N360" s="208"/>
      <c r="O360" s="208"/>
      <c r="P360" s="208"/>
      <c r="Q360" s="211"/>
    </row>
    <row r="361" ht="12.75" customHeight="1" hidden="1">
      <c r="A361" s="207"/>
      <c r="B361" s="208"/>
      <c r="C361" s="208"/>
      <c r="D361" s="208"/>
      <c r="E361" s="208"/>
      <c r="F361" s="208"/>
      <c r="G361" s="208"/>
      <c r="H361" s="208"/>
      <c r="I361" s="208"/>
      <c r="J361" s="208"/>
      <c r="K361" s="208"/>
      <c r="L361" s="208"/>
      <c r="M361" s="208"/>
      <c r="N361" s="208"/>
      <c r="O361" s="208"/>
      <c r="P361" s="208"/>
      <c r="Q361" s="211"/>
    </row>
    <row r="362" ht="12.75" customHeight="1" hidden="1">
      <c r="A362" s="207"/>
      <c r="B362" s="208"/>
      <c r="C362" s="208"/>
      <c r="D362" s="208"/>
      <c r="E362" s="208"/>
      <c r="F362" s="208"/>
      <c r="G362" s="208"/>
      <c r="H362" s="208"/>
      <c r="I362" s="208"/>
      <c r="J362" s="208"/>
      <c r="K362" s="208"/>
      <c r="L362" s="208"/>
      <c r="M362" s="208"/>
      <c r="N362" s="208"/>
      <c r="O362" s="208"/>
      <c r="P362" s="208"/>
      <c r="Q362" s="211"/>
    </row>
    <row r="363" ht="12.75" customHeight="1" hidden="1">
      <c r="A363" s="207"/>
      <c r="B363" s="208"/>
      <c r="C363" s="208"/>
      <c r="D363" s="208"/>
      <c r="E363" s="208"/>
      <c r="F363" s="208"/>
      <c r="G363" s="208"/>
      <c r="H363" s="208"/>
      <c r="I363" s="208"/>
      <c r="J363" s="208"/>
      <c r="K363" s="208"/>
      <c r="L363" s="208"/>
      <c r="M363" s="208"/>
      <c r="N363" s="208"/>
      <c r="O363" s="208"/>
      <c r="P363" s="208"/>
      <c r="Q363" s="211"/>
    </row>
    <row r="364" ht="12.75" customHeight="1" hidden="1">
      <c r="A364" s="207"/>
      <c r="B364" s="208"/>
      <c r="C364" s="208"/>
      <c r="D364" s="208"/>
      <c r="E364" s="208"/>
      <c r="F364" s="208"/>
      <c r="G364" s="208"/>
      <c r="H364" s="208"/>
      <c r="I364" s="208"/>
      <c r="J364" s="208"/>
      <c r="K364" s="208"/>
      <c r="L364" s="208"/>
      <c r="M364" s="208"/>
      <c r="N364" s="208"/>
      <c r="O364" s="208"/>
      <c r="P364" s="208"/>
      <c r="Q364" s="211"/>
    </row>
    <row r="365" ht="12.75" customHeight="1" hidden="1">
      <c r="A365" s="207"/>
      <c r="B365" s="208"/>
      <c r="C365" s="208"/>
      <c r="D365" s="208"/>
      <c r="E365" s="208"/>
      <c r="F365" s="208"/>
      <c r="G365" s="208"/>
      <c r="H365" s="208"/>
      <c r="I365" s="208"/>
      <c r="J365" s="208"/>
      <c r="K365" s="208"/>
      <c r="L365" s="208"/>
      <c r="M365" s="208"/>
      <c r="N365" s="208"/>
      <c r="O365" s="208"/>
      <c r="P365" s="208"/>
      <c r="Q365" s="211"/>
    </row>
    <row r="366" ht="12.75" customHeight="1" hidden="1">
      <c r="A366" s="207"/>
      <c r="B366" s="208"/>
      <c r="C366" s="208"/>
      <c r="D366" s="208"/>
      <c r="E366" s="208"/>
      <c r="F366" s="208"/>
      <c r="G366" s="208"/>
      <c r="H366" s="208"/>
      <c r="I366" s="208"/>
      <c r="J366" s="208"/>
      <c r="K366" s="208"/>
      <c r="L366" s="208"/>
      <c r="M366" s="208"/>
      <c r="N366" s="208"/>
      <c r="O366" s="208"/>
      <c r="P366" s="208"/>
      <c r="Q366" s="211"/>
    </row>
    <row r="367" ht="12.75" customHeight="1" hidden="1">
      <c r="A367" s="207"/>
      <c r="B367" s="208"/>
      <c r="C367" s="208"/>
      <c r="D367" s="208"/>
      <c r="E367" s="208"/>
      <c r="F367" s="208"/>
      <c r="G367" s="208"/>
      <c r="H367" s="208"/>
      <c r="I367" s="208"/>
      <c r="J367" s="208"/>
      <c r="K367" s="208"/>
      <c r="L367" s="208"/>
      <c r="M367" s="208"/>
      <c r="N367" s="208"/>
      <c r="O367" s="208"/>
      <c r="P367" s="208"/>
      <c r="Q367" s="211"/>
    </row>
    <row r="368" ht="12.75" customHeight="1" hidden="1">
      <c r="A368" s="207"/>
      <c r="B368" s="208"/>
      <c r="C368" s="208"/>
      <c r="D368" s="208"/>
      <c r="E368" s="208"/>
      <c r="F368" s="208"/>
      <c r="G368" s="208"/>
      <c r="H368" s="208"/>
      <c r="I368" s="208"/>
      <c r="J368" s="208"/>
      <c r="K368" s="208"/>
      <c r="L368" s="208"/>
      <c r="M368" s="208"/>
      <c r="N368" s="208"/>
      <c r="O368" s="208"/>
      <c r="P368" s="208"/>
      <c r="Q368" s="211"/>
    </row>
    <row r="369" ht="12.75" customHeight="1" hidden="1">
      <c r="A369" s="207"/>
      <c r="B369" s="208"/>
      <c r="C369" s="208"/>
      <c r="D369" s="208"/>
      <c r="E369" s="208"/>
      <c r="F369" s="208"/>
      <c r="G369" s="208"/>
      <c r="H369" s="208"/>
      <c r="I369" s="208"/>
      <c r="J369" s="208"/>
      <c r="K369" s="208"/>
      <c r="L369" s="208"/>
      <c r="M369" s="208"/>
      <c r="N369" s="208"/>
      <c r="O369" s="208"/>
      <c r="P369" s="208"/>
      <c r="Q369" s="211"/>
    </row>
    <row r="370" ht="12.75" customHeight="1" hidden="1">
      <c r="A370" s="207"/>
      <c r="B370" s="208"/>
      <c r="C370" s="208"/>
      <c r="D370" s="208"/>
      <c r="E370" s="208"/>
      <c r="F370" s="208"/>
      <c r="G370" s="208"/>
      <c r="H370" s="208"/>
      <c r="I370" s="208"/>
      <c r="J370" s="208"/>
      <c r="K370" s="208"/>
      <c r="L370" s="208"/>
      <c r="M370" s="208"/>
      <c r="N370" s="208"/>
      <c r="O370" s="208"/>
      <c r="P370" s="208"/>
      <c r="Q370" s="211"/>
    </row>
    <row r="371" ht="12.75" customHeight="1" hidden="1">
      <c r="A371" s="207"/>
      <c r="B371" s="208"/>
      <c r="C371" s="208"/>
      <c r="D371" s="208"/>
      <c r="E371" s="208"/>
      <c r="F371" s="208"/>
      <c r="G371" s="208"/>
      <c r="H371" s="208"/>
      <c r="I371" s="208"/>
      <c r="J371" s="208"/>
      <c r="K371" s="208"/>
      <c r="L371" s="208"/>
      <c r="M371" s="208"/>
      <c r="N371" s="208"/>
      <c r="O371" s="208"/>
      <c r="P371" s="208"/>
      <c r="Q371" s="211"/>
    </row>
    <row r="372" ht="12.75" customHeight="1" hidden="1">
      <c r="A372" s="207"/>
      <c r="B372" s="208"/>
      <c r="C372" s="208"/>
      <c r="D372" s="208"/>
      <c r="E372" s="208"/>
      <c r="F372" s="208"/>
      <c r="G372" s="208"/>
      <c r="H372" s="208"/>
      <c r="I372" s="208"/>
      <c r="J372" s="208"/>
      <c r="K372" s="208"/>
      <c r="L372" s="208"/>
      <c r="M372" s="208"/>
      <c r="N372" s="208"/>
      <c r="O372" s="208"/>
      <c r="P372" s="208"/>
      <c r="Q372" s="211"/>
    </row>
    <row r="373" ht="12.75" customHeight="1" hidden="1">
      <c r="A373" s="207"/>
      <c r="B373" s="208"/>
      <c r="C373" s="208"/>
      <c r="D373" s="208"/>
      <c r="E373" s="208"/>
      <c r="F373" s="208"/>
      <c r="G373" s="208"/>
      <c r="H373" s="208"/>
      <c r="I373" s="208"/>
      <c r="J373" s="208"/>
      <c r="K373" s="208"/>
      <c r="L373" s="208"/>
      <c r="M373" s="208"/>
      <c r="N373" s="208"/>
      <c r="O373" s="208"/>
      <c r="P373" s="208"/>
      <c r="Q373" s="211"/>
    </row>
    <row r="374" ht="12.75" customHeight="1" hidden="1">
      <c r="A374" s="207"/>
      <c r="B374" s="208"/>
      <c r="C374" s="208"/>
      <c r="D374" s="208"/>
      <c r="E374" s="208"/>
      <c r="F374" s="208"/>
      <c r="G374" s="208"/>
      <c r="H374" s="208"/>
      <c r="I374" s="208"/>
      <c r="J374" s="208"/>
      <c r="K374" s="208"/>
      <c r="L374" s="208"/>
      <c r="M374" s="208"/>
      <c r="N374" s="208"/>
      <c r="O374" s="208"/>
      <c r="P374" s="208"/>
      <c r="Q374" s="211"/>
    </row>
    <row r="375" ht="12.75" customHeight="1" hidden="1">
      <c r="A375" s="207"/>
      <c r="B375" s="208"/>
      <c r="C375" s="208"/>
      <c r="D375" s="208"/>
      <c r="E375" s="208"/>
      <c r="F375" s="208"/>
      <c r="G375" s="208"/>
      <c r="H375" s="208"/>
      <c r="I375" s="208"/>
      <c r="J375" s="208"/>
      <c r="K375" s="208"/>
      <c r="L375" s="208"/>
      <c r="M375" s="208"/>
      <c r="N375" s="208"/>
      <c r="O375" s="208"/>
      <c r="P375" s="208"/>
      <c r="Q375" s="211"/>
    </row>
    <row r="376" ht="12.75" customHeight="1" hidden="1">
      <c r="A376" s="207"/>
      <c r="B376" s="208"/>
      <c r="C376" s="208"/>
      <c r="D376" s="208"/>
      <c r="E376" s="208"/>
      <c r="F376" s="208"/>
      <c r="G376" s="208"/>
      <c r="H376" s="208"/>
      <c r="I376" s="208"/>
      <c r="J376" s="208"/>
      <c r="K376" s="208"/>
      <c r="L376" s="208"/>
      <c r="M376" s="208"/>
      <c r="N376" s="208"/>
      <c r="O376" s="208"/>
      <c r="P376" s="208"/>
      <c r="Q376" s="211"/>
    </row>
    <row r="377" ht="12.75" customHeight="1" hidden="1">
      <c r="A377" s="207"/>
      <c r="B377" s="208"/>
      <c r="C377" s="208"/>
      <c r="D377" s="208"/>
      <c r="E377" s="208"/>
      <c r="F377" s="208"/>
      <c r="G377" s="208"/>
      <c r="H377" s="208"/>
      <c r="I377" s="208"/>
      <c r="J377" s="208"/>
      <c r="K377" s="208"/>
      <c r="L377" s="208"/>
      <c r="M377" s="208"/>
      <c r="N377" s="208"/>
      <c r="O377" s="208"/>
      <c r="P377" s="208"/>
      <c r="Q377" s="211"/>
    </row>
    <row r="378" ht="12.75" customHeight="1" hidden="1">
      <c r="A378" s="207"/>
      <c r="B378" s="208"/>
      <c r="C378" s="208"/>
      <c r="D378" s="208"/>
      <c r="E378" s="208"/>
      <c r="F378" s="208"/>
      <c r="G378" s="208"/>
      <c r="H378" s="208"/>
      <c r="I378" s="208"/>
      <c r="J378" s="208"/>
      <c r="K378" s="208"/>
      <c r="L378" s="208"/>
      <c r="M378" s="208"/>
      <c r="N378" s="208"/>
      <c r="O378" s="208"/>
      <c r="P378" s="208"/>
      <c r="Q378" s="211"/>
    </row>
    <row r="379" ht="12.75" customHeight="1" hidden="1">
      <c r="A379" s="207"/>
      <c r="B379" s="208"/>
      <c r="C379" s="208"/>
      <c r="D379" s="208"/>
      <c r="E379" s="208"/>
      <c r="F379" s="208"/>
      <c r="G379" s="208"/>
      <c r="H379" s="208"/>
      <c r="I379" s="208"/>
      <c r="J379" s="208"/>
      <c r="K379" s="208"/>
      <c r="L379" s="208"/>
      <c r="M379" s="208"/>
      <c r="N379" s="208"/>
      <c r="O379" s="208"/>
      <c r="P379" s="208"/>
      <c r="Q379" s="211"/>
    </row>
    <row r="380" ht="12.75" customHeight="1" hidden="1">
      <c r="A380" s="207"/>
      <c r="B380" s="208"/>
      <c r="C380" s="208"/>
      <c r="D380" s="208"/>
      <c r="E380" s="208"/>
      <c r="F380" s="208"/>
      <c r="G380" s="208"/>
      <c r="H380" s="208"/>
      <c r="I380" s="208"/>
      <c r="J380" s="208"/>
      <c r="K380" s="208"/>
      <c r="L380" s="208"/>
      <c r="M380" s="208"/>
      <c r="N380" s="208"/>
      <c r="O380" s="208"/>
      <c r="P380" s="208"/>
      <c r="Q380" s="211"/>
    </row>
    <row r="381" ht="12.75" customHeight="1" hidden="1">
      <c r="A381" s="207"/>
      <c r="B381" s="208"/>
      <c r="C381" s="208"/>
      <c r="D381" s="208"/>
      <c r="E381" s="208"/>
      <c r="F381" s="208"/>
      <c r="G381" s="208"/>
      <c r="H381" s="208"/>
      <c r="I381" s="208"/>
      <c r="J381" s="208"/>
      <c r="K381" s="208"/>
      <c r="L381" s="208"/>
      <c r="M381" s="208"/>
      <c r="N381" s="208"/>
      <c r="O381" s="208"/>
      <c r="P381" s="208"/>
      <c r="Q381" s="211"/>
    </row>
    <row r="382" ht="12.75" customHeight="1" hidden="1">
      <c r="A382" s="207"/>
      <c r="B382" s="208"/>
      <c r="C382" s="208"/>
      <c r="D382" s="208"/>
      <c r="E382" s="208"/>
      <c r="F382" s="208"/>
      <c r="G382" s="208"/>
      <c r="H382" s="208"/>
      <c r="I382" s="208"/>
      <c r="J382" s="208"/>
      <c r="K382" s="208"/>
      <c r="L382" s="208"/>
      <c r="M382" s="208"/>
      <c r="N382" s="208"/>
      <c r="O382" s="208"/>
      <c r="P382" s="208"/>
      <c r="Q382" s="211"/>
    </row>
    <row r="383" ht="12.75" customHeight="1" hidden="1">
      <c r="A383" s="207"/>
      <c r="B383" s="208"/>
      <c r="C383" s="208"/>
      <c r="D383" s="208"/>
      <c r="E383" s="208"/>
      <c r="F383" s="208"/>
      <c r="G383" s="208"/>
      <c r="H383" s="208"/>
      <c r="I383" s="208"/>
      <c r="J383" s="208"/>
      <c r="K383" s="208"/>
      <c r="L383" s="208"/>
      <c r="M383" s="208"/>
      <c r="N383" s="208"/>
      <c r="O383" s="208"/>
      <c r="P383" s="208"/>
      <c r="Q383" s="211"/>
    </row>
    <row r="384" ht="12.75" customHeight="1" hidden="1">
      <c r="A384" s="207"/>
      <c r="B384" s="208"/>
      <c r="C384" s="208"/>
      <c r="D384" s="208"/>
      <c r="E384" s="208"/>
      <c r="F384" s="208"/>
      <c r="G384" s="208"/>
      <c r="H384" s="208"/>
      <c r="I384" s="208"/>
      <c r="J384" s="208"/>
      <c r="K384" s="208"/>
      <c r="L384" s="208"/>
      <c r="M384" s="208"/>
      <c r="N384" s="208"/>
      <c r="O384" s="208"/>
      <c r="P384" s="208"/>
      <c r="Q384" s="211"/>
    </row>
    <row r="385" ht="12.75" customHeight="1" hidden="1">
      <c r="A385" s="207"/>
      <c r="B385" s="208"/>
      <c r="C385" s="208"/>
      <c r="D385" s="208"/>
      <c r="E385" s="208"/>
      <c r="F385" s="208"/>
      <c r="G385" s="208"/>
      <c r="H385" s="208"/>
      <c r="I385" s="208"/>
      <c r="J385" s="208"/>
      <c r="K385" s="208"/>
      <c r="L385" s="208"/>
      <c r="M385" s="208"/>
      <c r="N385" s="208"/>
      <c r="O385" s="208"/>
      <c r="P385" s="208"/>
      <c r="Q385" s="211"/>
    </row>
    <row r="386" ht="12.75" customHeight="1" hidden="1">
      <c r="A386" s="207"/>
      <c r="B386" s="208"/>
      <c r="C386" s="208"/>
      <c r="D386" s="208"/>
      <c r="E386" s="208"/>
      <c r="F386" s="208"/>
      <c r="G386" s="208"/>
      <c r="H386" s="208"/>
      <c r="I386" s="208"/>
      <c r="J386" s="208"/>
      <c r="K386" s="208"/>
      <c r="L386" s="208"/>
      <c r="M386" s="208"/>
      <c r="N386" s="208"/>
      <c r="O386" s="208"/>
      <c r="P386" s="208"/>
      <c r="Q386" s="211"/>
    </row>
    <row r="387" ht="12.75" customHeight="1" hidden="1">
      <c r="A387" s="207"/>
      <c r="B387" s="208"/>
      <c r="C387" s="208"/>
      <c r="D387" s="208"/>
      <c r="E387" s="208"/>
      <c r="F387" s="208"/>
      <c r="G387" s="208"/>
      <c r="H387" s="208"/>
      <c r="I387" s="208"/>
      <c r="J387" s="208"/>
      <c r="K387" s="208"/>
      <c r="L387" s="208"/>
      <c r="M387" s="208"/>
      <c r="N387" s="208"/>
      <c r="O387" s="208"/>
      <c r="P387" s="208"/>
      <c r="Q387" s="211"/>
    </row>
    <row r="388" ht="12.75" customHeight="1" hidden="1">
      <c r="A388" s="207"/>
      <c r="B388" s="208"/>
      <c r="C388" s="208"/>
      <c r="D388" s="208"/>
      <c r="E388" s="208"/>
      <c r="F388" s="208"/>
      <c r="G388" s="208"/>
      <c r="H388" s="208"/>
      <c r="I388" s="208"/>
      <c r="J388" s="208"/>
      <c r="K388" s="208"/>
      <c r="L388" s="208"/>
      <c r="M388" s="208"/>
      <c r="N388" s="208"/>
      <c r="O388" s="208"/>
      <c r="P388" s="208"/>
      <c r="Q388" s="211"/>
    </row>
    <row r="389" ht="12.75" customHeight="1" hidden="1">
      <c r="A389" s="207"/>
      <c r="B389" s="208"/>
      <c r="C389" s="208"/>
      <c r="D389" s="208"/>
      <c r="E389" s="208"/>
      <c r="F389" s="208"/>
      <c r="G389" s="208"/>
      <c r="H389" s="208"/>
      <c r="I389" s="208"/>
      <c r="J389" s="208"/>
      <c r="K389" s="208"/>
      <c r="L389" s="208"/>
      <c r="M389" s="208"/>
      <c r="N389" s="208"/>
      <c r="O389" s="208"/>
      <c r="P389" s="208"/>
      <c r="Q389" s="211"/>
    </row>
    <row r="390" ht="12.75" customHeight="1" hidden="1">
      <c r="A390" s="207"/>
      <c r="B390" s="208"/>
      <c r="C390" s="208"/>
      <c r="D390" s="208"/>
      <c r="E390" s="208"/>
      <c r="F390" s="208"/>
      <c r="G390" s="208"/>
      <c r="H390" s="208"/>
      <c r="I390" s="208"/>
      <c r="J390" s="208"/>
      <c r="K390" s="208"/>
      <c r="L390" s="208"/>
      <c r="M390" s="208"/>
      <c r="N390" s="208"/>
      <c r="O390" s="208"/>
      <c r="P390" s="208"/>
      <c r="Q390" s="211"/>
    </row>
    <row r="391" ht="12.75" customHeight="1" hidden="1">
      <c r="A391" s="207"/>
      <c r="B391" s="208"/>
      <c r="C391" s="208"/>
      <c r="D391" s="208"/>
      <c r="E391" s="208"/>
      <c r="F391" s="208"/>
      <c r="G391" s="208"/>
      <c r="H391" s="208"/>
      <c r="I391" s="208"/>
      <c r="J391" s="208"/>
      <c r="K391" s="208"/>
      <c r="L391" s="208"/>
      <c r="M391" s="208"/>
      <c r="N391" s="208"/>
      <c r="O391" s="208"/>
      <c r="P391" s="208"/>
      <c r="Q391" s="211"/>
    </row>
    <row r="392" ht="12.75" customHeight="1" hidden="1">
      <c r="A392" s="207"/>
      <c r="B392" s="208"/>
      <c r="C392" s="208"/>
      <c r="D392" s="208"/>
      <c r="E392" s="208"/>
      <c r="F392" s="208"/>
      <c r="G392" s="208"/>
      <c r="H392" s="208"/>
      <c r="I392" s="208"/>
      <c r="J392" s="208"/>
      <c r="K392" s="208"/>
      <c r="L392" s="208"/>
      <c r="M392" s="208"/>
      <c r="N392" s="208"/>
      <c r="O392" s="208"/>
      <c r="P392" s="208"/>
      <c r="Q392" s="211"/>
    </row>
    <row r="393" ht="12.75" customHeight="1" hidden="1">
      <c r="A393" s="207"/>
      <c r="B393" s="208"/>
      <c r="C393" s="208"/>
      <c r="D393" s="208"/>
      <c r="E393" s="208"/>
      <c r="F393" s="208"/>
      <c r="G393" s="208"/>
      <c r="H393" s="208"/>
      <c r="I393" s="208"/>
      <c r="J393" s="208"/>
      <c r="K393" s="208"/>
      <c r="L393" s="208"/>
      <c r="M393" s="208"/>
      <c r="N393" s="208"/>
      <c r="O393" s="208"/>
      <c r="P393" s="208"/>
      <c r="Q393" s="211"/>
    </row>
    <row r="394" ht="12.75" customHeight="1" hidden="1">
      <c r="A394" s="207"/>
      <c r="B394" s="208"/>
      <c r="C394" s="208"/>
      <c r="D394" s="208"/>
      <c r="E394" s="208"/>
      <c r="F394" s="208"/>
      <c r="G394" s="208"/>
      <c r="H394" s="208"/>
      <c r="I394" s="208"/>
      <c r="J394" s="208"/>
      <c r="K394" s="208"/>
      <c r="L394" s="208"/>
      <c r="M394" s="208"/>
      <c r="N394" s="208"/>
      <c r="O394" s="208"/>
      <c r="P394" s="208"/>
      <c r="Q394" s="211"/>
    </row>
    <row r="395" ht="12.75" customHeight="1" hidden="1">
      <c r="A395" s="207"/>
      <c r="B395" s="208"/>
      <c r="C395" s="208"/>
      <c r="D395" s="208"/>
      <c r="E395" s="208"/>
      <c r="F395" s="208"/>
      <c r="G395" s="208"/>
      <c r="H395" s="208"/>
      <c r="I395" s="208"/>
      <c r="J395" s="208"/>
      <c r="K395" s="208"/>
      <c r="L395" s="208"/>
      <c r="M395" s="208"/>
      <c r="N395" s="208"/>
      <c r="O395" s="208"/>
      <c r="P395" s="208"/>
      <c r="Q395" s="211"/>
    </row>
    <row r="396" ht="12.75" customHeight="1" hidden="1">
      <c r="A396" s="207"/>
      <c r="B396" s="208"/>
      <c r="C396" s="208"/>
      <c r="D396" s="208"/>
      <c r="E396" s="208"/>
      <c r="F396" s="208"/>
      <c r="G396" s="208"/>
      <c r="H396" s="208"/>
      <c r="I396" s="208"/>
      <c r="J396" s="208"/>
      <c r="K396" s="208"/>
      <c r="L396" s="208"/>
      <c r="M396" s="208"/>
      <c r="N396" s="208"/>
      <c r="O396" s="208"/>
      <c r="P396" s="208"/>
      <c r="Q396" s="211"/>
    </row>
    <row r="397" ht="12.75" customHeight="1" hidden="1">
      <c r="A397" s="207"/>
      <c r="B397" s="208"/>
      <c r="C397" s="208"/>
      <c r="D397" s="208"/>
      <c r="E397" s="208"/>
      <c r="F397" s="208"/>
      <c r="G397" s="208"/>
      <c r="H397" s="208"/>
      <c r="I397" s="208"/>
      <c r="J397" s="208"/>
      <c r="K397" s="208"/>
      <c r="L397" s="208"/>
      <c r="M397" s="208"/>
      <c r="N397" s="208"/>
      <c r="O397" s="208"/>
      <c r="P397" s="208"/>
      <c r="Q397" s="211"/>
    </row>
    <row r="398" ht="12.75" customHeight="1" hidden="1">
      <c r="A398" s="207"/>
      <c r="B398" s="208"/>
      <c r="C398" s="208"/>
      <c r="D398" s="208"/>
      <c r="E398" s="208"/>
      <c r="F398" s="208"/>
      <c r="G398" s="208"/>
      <c r="H398" s="208"/>
      <c r="I398" s="208"/>
      <c r="J398" s="208"/>
      <c r="K398" s="208"/>
      <c r="L398" s="208"/>
      <c r="M398" s="208"/>
      <c r="N398" s="208"/>
      <c r="O398" s="208"/>
      <c r="P398" s="208"/>
      <c r="Q398" s="211"/>
    </row>
    <row r="399" ht="12.75" customHeight="1" hidden="1">
      <c r="A399" s="207"/>
      <c r="B399" s="208"/>
      <c r="C399" s="208"/>
      <c r="D399" s="208"/>
      <c r="E399" s="208"/>
      <c r="F399" s="208"/>
      <c r="G399" s="208"/>
      <c r="H399" s="208"/>
      <c r="I399" s="208"/>
      <c r="J399" s="208"/>
      <c r="K399" s="208"/>
      <c r="L399" s="208"/>
      <c r="M399" s="208"/>
      <c r="N399" s="208"/>
      <c r="O399" s="208"/>
      <c r="P399" s="208"/>
      <c r="Q399" s="211"/>
    </row>
    <row r="400" ht="12.75" customHeight="1" hidden="1">
      <c r="A400" s="190">
        <v>43563</v>
      </c>
      <c r="B400" s="208"/>
      <c r="C400" s="208"/>
      <c r="D400" s="208"/>
      <c r="E400" s="208"/>
      <c r="F400" s="208"/>
      <c r="G400" s="208"/>
      <c r="H400" s="208"/>
      <c r="I400" s="208"/>
      <c r="J400" s="208"/>
      <c r="K400" s="208"/>
      <c r="L400" s="208"/>
      <c r="M400" s="208"/>
      <c r="N400" s="208"/>
      <c r="O400" s="208"/>
      <c r="P400" s="208"/>
      <c r="Q400" s="211"/>
    </row>
    <row r="401" ht="12.75" customHeight="1" hidden="1">
      <c r="A401" s="190">
        <v>42980</v>
      </c>
      <c r="B401" s="208"/>
      <c r="C401" s="208"/>
      <c r="D401" s="208"/>
      <c r="E401" s="208"/>
      <c r="F401" s="208"/>
      <c r="G401" s="208"/>
      <c r="H401" s="208"/>
      <c r="I401" s="208"/>
      <c r="J401" s="208"/>
      <c r="K401" s="208"/>
      <c r="L401" s="208"/>
      <c r="M401" s="208"/>
      <c r="N401" s="208"/>
      <c r="O401" s="208"/>
      <c r="P401" s="208"/>
      <c r="Q401" s="211"/>
    </row>
    <row r="402" ht="12.75" customHeight="1" hidden="1">
      <c r="A402" s="207"/>
      <c r="B402" s="208"/>
      <c r="C402" s="208"/>
      <c r="D402" s="208"/>
      <c r="E402" s="208"/>
      <c r="F402" s="208"/>
      <c r="G402" s="208"/>
      <c r="H402" s="208"/>
      <c r="I402" s="208"/>
      <c r="J402" s="208"/>
      <c r="K402" s="208"/>
      <c r="L402" s="208"/>
      <c r="M402" s="208"/>
      <c r="N402" s="208"/>
      <c r="O402" s="208"/>
      <c r="P402" s="208"/>
      <c r="Q402" s="211"/>
    </row>
    <row r="403" ht="12.75" customHeight="1" hidden="1">
      <c r="A403" s="190"/>
      <c r="B403" s="208"/>
      <c r="C403" s="208"/>
      <c r="D403" s="208"/>
      <c r="E403" s="208"/>
      <c r="F403" s="208"/>
      <c r="G403" s="208"/>
      <c r="H403" s="208"/>
      <c r="I403" s="208"/>
      <c r="J403" s="208"/>
      <c r="K403" s="208"/>
      <c r="L403" s="208"/>
      <c r="M403" s="208"/>
      <c r="N403" s="208"/>
      <c r="O403" s="208"/>
      <c r="P403" s="208"/>
      <c r="Q403" s="211"/>
    </row>
    <row r="404" ht="15.65" customHeight="1">
      <c r="A404" s="362"/>
      <c r="B404" s="363"/>
      <c r="C404" s="363"/>
      <c r="D404" s="363"/>
      <c r="E404" s="363"/>
      <c r="F404" s="363"/>
      <c r="G404" s="363"/>
      <c r="H404" s="363"/>
      <c r="I404" s="363"/>
      <c r="J404" s="363"/>
      <c r="K404" s="363"/>
      <c r="L404" s="363"/>
      <c r="M404" s="363"/>
      <c r="N404" s="363"/>
      <c r="O404" s="363"/>
      <c r="P404" s="363"/>
      <c r="Q404" s="364"/>
    </row>
  </sheetData>
  <mergeCells count="3">
    <mergeCell ref="A1:N1"/>
    <mergeCell ref="A7:H7"/>
    <mergeCell ref="J7:N7"/>
  </mergeCells>
  <conditionalFormatting sqref="E9:F9 L9:L18 F10 F12:F14">
    <cfRule type="cellIs" dxfId="0" priority="1" operator="greaterThan" stopIfTrue="1">
      <formula>0</formula>
    </cfRule>
  </conditionalFormatting>
  <pageMargins left="0.75" right="0.75" top="1" bottom="1" header="0.5" footer="0.5"/>
  <pageSetup firstPageNumber="1" fitToHeight="1" fitToWidth="1" scale="100" useFirstPageNumber="0" orientation="landscape" pageOrder="downThenOver"/>
  <headerFooter>
    <oddFooter>&amp;L&amp;"Helvetica,Regular"&amp;12&amp;K000000	&amp;P</oddFooter>
  </headerFooter>
  <drawing r:id="rId1"/>
  <legacyDrawing r:id="rId2"/>
</worksheet>
</file>

<file path=xl/worksheets/sheet25.xml><?xml version="1.0" encoding="utf-8"?>
<worksheet xmlns:r="http://schemas.openxmlformats.org/officeDocument/2006/relationships" xmlns="http://schemas.openxmlformats.org/spreadsheetml/2006/main">
  <sheetPr>
    <pageSetUpPr fitToPage="1"/>
  </sheetPr>
  <dimension ref="A1:J413"/>
  <sheetViews>
    <sheetView workbookViewId="0" showGridLines="0" defaultGridColor="1"/>
  </sheetViews>
  <sheetFormatPr defaultColWidth="6.625" defaultRowHeight="15" customHeight="1" outlineLevelRow="0" outlineLevelCol="0"/>
  <cols>
    <col min="1" max="1" width="31.625" style="874" customWidth="1"/>
    <col min="2" max="2" width="14.125" style="874" customWidth="1"/>
    <col min="3" max="3" width="14.75" style="874" customWidth="1"/>
    <col min="4" max="4" width="16.75" style="874" customWidth="1"/>
    <col min="5" max="5" width="22.875" style="874" customWidth="1"/>
    <col min="6" max="6" width="1.75" style="874" customWidth="1"/>
    <col min="7" max="7" hidden="1" width="6.625" style="874" customWidth="1"/>
    <col min="8" max="8" width="17.625" style="874" customWidth="1"/>
    <col min="9" max="9" width="17.625" style="874" customWidth="1"/>
    <col min="10" max="10" hidden="1" width="6.625" style="874" customWidth="1"/>
    <col min="11" max="256" width="6.625" style="874" customWidth="1"/>
  </cols>
  <sheetData>
    <row r="1" ht="23.25" customHeight="1">
      <c r="A1" t="s" s="631">
        <v>970</v>
      </c>
      <c r="B1" s="11"/>
      <c r="C1" s="9"/>
      <c r="D1" s="9"/>
      <c r="E1" s="875"/>
      <c r="F1" s="11"/>
      <c r="G1" s="11"/>
      <c r="H1" s="11"/>
      <c r="I1" s="11"/>
      <c r="J1" s="11"/>
    </row>
    <row r="2" ht="17" customHeight="1">
      <c r="A2" s="11"/>
      <c r="B2" s="11"/>
      <c r="C2" s="9"/>
      <c r="D2" s="9"/>
      <c r="E2" s="876"/>
      <c r="F2" s="11"/>
      <c r="G2" s="11"/>
      <c r="H2" s="11"/>
      <c r="I2" s="11"/>
      <c r="J2" s="11"/>
    </row>
    <row r="3" ht="18" customHeight="1">
      <c r="A3" t="s" s="877">
        <v>76</v>
      </c>
      <c r="B3" t="s" s="7">
        <f>'Project Information'!C10</f>
        <v>950</v>
      </c>
      <c r="C3" s="9"/>
      <c r="D3" s="9"/>
      <c r="E3" s="9"/>
      <c r="F3" s="86"/>
      <c r="G3" s="86"/>
      <c r="H3" s="86"/>
      <c r="I3" s="86"/>
      <c r="J3" s="86"/>
    </row>
    <row r="4" ht="24.75" customHeight="1">
      <c r="A4" s="878"/>
      <c r="B4" s="9"/>
      <c r="C4" s="642"/>
      <c r="D4" s="13"/>
      <c r="E4" s="9"/>
      <c r="F4" s="86"/>
      <c r="G4" s="878"/>
      <c r="H4" s="878"/>
      <c r="I4" s="878"/>
      <c r="J4" s="878"/>
    </row>
    <row r="5" ht="17.1" customHeight="1">
      <c r="A5" t="s" s="879">
        <v>971</v>
      </c>
      <c r="B5" s="880"/>
      <c r="C5" s="880"/>
      <c r="D5" s="880"/>
      <c r="E5" s="263"/>
      <c r="F5" s="86"/>
      <c r="G5" s="878"/>
      <c r="H5" s="878"/>
      <c r="I5" s="878"/>
      <c r="J5" s="878"/>
    </row>
    <row r="6" ht="17.1" customHeight="1">
      <c r="A6" s="881"/>
      <c r="B6" s="881"/>
      <c r="C6" s="881"/>
      <c r="D6" s="881"/>
      <c r="E6" s="881"/>
      <c r="F6" s="86"/>
      <c r="G6" s="878"/>
      <c r="H6" s="878"/>
      <c r="I6" s="878"/>
      <c r="J6" s="878"/>
    </row>
    <row r="7" ht="17.1" customHeight="1">
      <c r="A7" s="882"/>
      <c r="B7" s="651"/>
      <c r="C7" t="s" s="883">
        <v>972</v>
      </c>
      <c r="D7" t="s" s="883">
        <v>973</v>
      </c>
      <c r="E7" t="s" s="883">
        <v>972</v>
      </c>
      <c r="F7" s="106"/>
      <c r="G7" s="878"/>
      <c r="H7" s="878"/>
      <c r="I7" s="878"/>
      <c r="J7" s="878"/>
    </row>
    <row r="8" ht="17.1" customHeight="1">
      <c r="A8" s="884"/>
      <c r="B8" s="885"/>
      <c r="C8" t="s" s="659">
        <v>974</v>
      </c>
      <c r="D8" t="s" s="659">
        <v>975</v>
      </c>
      <c r="E8" t="s" s="659">
        <v>976</v>
      </c>
      <c r="F8" s="106"/>
      <c r="G8" s="878"/>
      <c r="H8" s="878"/>
      <c r="I8" s="878"/>
      <c r="J8" s="878"/>
    </row>
    <row r="9" ht="17.1" customHeight="1">
      <c r="A9" t="s" s="886">
        <v>46</v>
      </c>
      <c r="B9" s="887"/>
      <c r="C9" s="888">
        <f>'Social Rent'!E21</f>
        <v>0</v>
      </c>
      <c r="D9" s="888">
        <f>'Social Rent'!G21</f>
        <v>0</v>
      </c>
      <c r="E9" s="888">
        <f>'Social Rent'!C21</f>
        <v>0</v>
      </c>
      <c r="F9" s="106"/>
      <c r="G9" s="878"/>
      <c r="H9" s="878"/>
      <c r="I9" s="878"/>
      <c r="J9" s="878"/>
    </row>
    <row r="10" ht="17.1" customHeight="1">
      <c r="A10" t="s" s="886">
        <v>82</v>
      </c>
      <c r="B10" s="887"/>
      <c r="C10" s="888">
        <f>'Affordable Rent'!E21</f>
        <v>18</v>
      </c>
      <c r="D10" s="888">
        <f>'Affordable Rent'!G21</f>
        <v>385</v>
      </c>
      <c r="E10" s="888">
        <f>'Affordable Rent'!C21</f>
        <v>5</v>
      </c>
      <c r="F10" s="106"/>
      <c r="G10" s="878"/>
      <c r="H10" s="878"/>
      <c r="I10" s="878"/>
      <c r="J10" s="878"/>
    </row>
    <row r="11" ht="17.1" customHeight="1">
      <c r="A11" t="s" s="889">
        <v>977</v>
      </c>
      <c r="B11" s="887"/>
      <c r="C11" s="890">
        <f>'Shared Ownership'!E21</f>
        <v>0</v>
      </c>
      <c r="D11" s="888">
        <f>'Shared Ownership'!G21</f>
        <v>0</v>
      </c>
      <c r="E11" s="890">
        <f>'Shared Ownership'!C21</f>
        <v>0</v>
      </c>
      <c r="F11" s="106"/>
      <c r="G11" s="878"/>
      <c r="H11" s="878"/>
      <c r="I11" s="878"/>
      <c r="J11" s="878"/>
    </row>
    <row r="12" ht="17.1" customHeight="1">
      <c r="A12" t="s" s="889">
        <v>94</v>
      </c>
      <c r="B12" s="887"/>
      <c r="C12" s="888">
        <f>'Market Rent'!E21</f>
        <v>0</v>
      </c>
      <c r="D12" s="888">
        <f>'Market Rent'!G21</f>
        <v>0</v>
      </c>
      <c r="E12" s="888">
        <f>'Market Rent'!C21</f>
        <v>0</v>
      </c>
      <c r="F12" s="106"/>
      <c r="G12" s="878"/>
      <c r="H12" s="878"/>
      <c r="I12" s="878"/>
      <c r="J12" s="878"/>
    </row>
    <row r="13" ht="17.1" customHeight="1">
      <c r="A13" t="s" s="889">
        <v>48</v>
      </c>
      <c r="B13" s="887"/>
      <c r="C13" s="888">
        <f>'Limited Equity'!E21</f>
        <v>0</v>
      </c>
      <c r="D13" s="888">
        <f>'Limited Equity'!G21</f>
        <v>0</v>
      </c>
      <c r="E13" s="888">
        <f>'Limited Equity'!C21</f>
        <v>0</v>
      </c>
      <c r="F13" s="106"/>
      <c r="G13" s="878"/>
      <c r="H13" s="878"/>
      <c r="I13" s="878"/>
      <c r="J13" s="878"/>
    </row>
    <row r="14" ht="17.1" customHeight="1">
      <c r="A14" t="s" s="889">
        <v>49</v>
      </c>
      <c r="B14" s="887"/>
      <c r="C14" s="888">
        <f>'OutrightSale'!E21</f>
        <v>12</v>
      </c>
      <c r="D14" s="888">
        <f>'OutrightSale'!G21</f>
        <v>195</v>
      </c>
      <c r="E14" s="888">
        <f>'OutrightSale'!C21</f>
        <v>3</v>
      </c>
      <c r="F14" s="106"/>
      <c r="G14" s="878"/>
      <c r="H14" s="878"/>
      <c r="I14" s="878"/>
      <c r="J14" s="878"/>
    </row>
    <row r="15" ht="17.1" customHeight="1">
      <c r="A15" t="s" s="891">
        <v>105</v>
      </c>
      <c r="B15" s="892"/>
      <c r="C15" s="893"/>
      <c r="D15" s="893">
        <f>'Commercial'!D21</f>
        <v>0</v>
      </c>
      <c r="E15" s="893">
        <f>'Commercial'!C21</f>
        <v>0</v>
      </c>
      <c r="F15" s="106"/>
      <c r="G15" s="878"/>
      <c r="H15" s="878"/>
      <c r="I15" s="878"/>
      <c r="J15" s="878"/>
    </row>
    <row r="16" ht="21.75" customHeight="1">
      <c r="A16" t="s" s="894">
        <v>192</v>
      </c>
      <c r="B16" s="895"/>
      <c r="C16" s="896">
        <f>SUM(C9:C14)</f>
        <v>30</v>
      </c>
      <c r="D16" s="896">
        <f>SUM(D9:D15)</f>
        <v>580</v>
      </c>
      <c r="E16" s="897">
        <f>SUM(E9:E15)</f>
        <v>8</v>
      </c>
      <c r="F16" s="898"/>
      <c r="G16" s="878"/>
      <c r="H16" s="878"/>
      <c r="I16" s="878"/>
      <c r="J16" s="878"/>
    </row>
    <row r="17" ht="22.5" customHeight="1">
      <c r="A17" s="899"/>
      <c r="B17" s="900"/>
      <c r="C17" s="900"/>
      <c r="D17" s="900"/>
      <c r="E17" s="901"/>
      <c r="F17" s="902"/>
      <c r="G17" s="903"/>
      <c r="H17" s="903"/>
      <c r="I17" s="903"/>
      <c r="J17" s="903"/>
    </row>
    <row r="18" ht="17.1" customHeight="1">
      <c r="A18" s="86"/>
      <c r="B18" s="86"/>
      <c r="C18" s="86"/>
      <c r="D18" s="881"/>
      <c r="E18" s="881"/>
      <c r="F18" s="86"/>
      <c r="G18" s="878"/>
      <c r="H18" s="878"/>
      <c r="I18" s="878"/>
      <c r="J18" s="878"/>
    </row>
    <row r="19" ht="17.1" customHeight="1">
      <c r="A19" s="86"/>
      <c r="B19" s="86"/>
      <c r="C19" s="736"/>
      <c r="D19" t="s" s="904">
        <v>622</v>
      </c>
      <c r="E19" t="s" s="905">
        <v>978</v>
      </c>
      <c r="F19" s="86"/>
      <c r="G19" s="86"/>
      <c r="H19" s="86"/>
      <c r="I19" s="86"/>
      <c r="J19" s="86"/>
    </row>
    <row r="20" ht="17.1" customHeight="1">
      <c r="A20" t="s" s="906">
        <v>979</v>
      </c>
      <c r="B20" s="9"/>
      <c r="C20" s="740"/>
      <c r="D20" s="907"/>
      <c r="E20" t="s" s="908">
        <v>980</v>
      </c>
      <c r="F20" s="909"/>
      <c r="G20" s="86"/>
      <c r="H20" s="86"/>
      <c r="I20" s="86"/>
      <c r="J20" s="86"/>
    </row>
    <row r="21" ht="17.1" customHeight="1">
      <c r="A21" s="86"/>
      <c r="B21" s="86"/>
      <c r="C21" s="736"/>
      <c r="D21" s="910"/>
      <c r="E21" s="910"/>
      <c r="F21" s="909"/>
      <c r="G21" s="86"/>
      <c r="H21" s="86"/>
      <c r="I21" s="86"/>
      <c r="J21" s="86"/>
    </row>
    <row r="22" ht="17.1" customHeight="1">
      <c r="A22" t="s" s="911">
        <v>981</v>
      </c>
      <c r="B22" s="739"/>
      <c r="C22" s="740"/>
      <c r="D22" s="912">
        <f>('Dev Cash Flow'!$F$19+'Dev Cash Flow'!F20)*-1</f>
        <v>-207500</v>
      </c>
      <c r="E22" s="913">
        <f>(D22/$D$16)*-1</f>
        <v>357.7586206896552</v>
      </c>
      <c r="F22" s="106"/>
      <c r="G22" s="86"/>
      <c r="H22" s="86"/>
      <c r="I22" s="86"/>
      <c r="J22" s="86"/>
    </row>
    <row r="23" ht="23.25" customHeight="1">
      <c r="A23" t="s" s="911">
        <v>982</v>
      </c>
      <c r="B23" s="86"/>
      <c r="C23" s="736"/>
      <c r="D23" s="914">
        <f>('Dev Cash Flow'!F18)*-1</f>
        <v>0</v>
      </c>
      <c r="E23" s="915">
        <f>(D23/$D$16)*-1</f>
        <v>0</v>
      </c>
      <c r="F23" s="916"/>
      <c r="G23" s="86"/>
      <c r="H23" s="86"/>
      <c r="I23" s="86"/>
      <c r="J23" s="86"/>
    </row>
    <row r="24" ht="24" customHeight="1">
      <c r="A24" t="s" s="911">
        <v>983</v>
      </c>
      <c r="B24" s="739"/>
      <c r="C24" s="740"/>
      <c r="D24" s="917">
        <f>('Dev Cash Flow'!F22+'Dev Cash Flow'!F23)*-1</f>
        <v>-1023000</v>
      </c>
      <c r="E24" s="918">
        <f>(D24/$D$16)*-1</f>
        <v>1763.793103448276</v>
      </c>
      <c r="F24" s="916"/>
      <c r="G24" s="86"/>
      <c r="H24" s="86"/>
      <c r="I24" s="86"/>
      <c r="J24" s="86"/>
    </row>
    <row r="25" ht="24" customHeight="1">
      <c r="A25" s="739"/>
      <c r="B25" s="739"/>
      <c r="C25" s="739"/>
      <c r="D25" s="919"/>
      <c r="E25" s="920"/>
      <c r="F25" s="921"/>
      <c r="G25" s="86"/>
      <c r="H25" s="86"/>
      <c r="I25" s="86"/>
      <c r="J25" s="86"/>
    </row>
    <row r="26" ht="24" customHeight="1">
      <c r="A26" s="739"/>
      <c r="B26" s="739"/>
      <c r="C26" s="740"/>
      <c r="D26" s="922">
        <f>SUM(D22:D24)</f>
        <v>-1230500</v>
      </c>
      <c r="E26" s="923">
        <f>(D26/$D$16)*-1</f>
        <v>2121.551724137931</v>
      </c>
      <c r="F26" s="916"/>
      <c r="G26" s="86"/>
      <c r="H26" s="86"/>
      <c r="I26" s="86"/>
      <c r="J26" s="86"/>
    </row>
    <row r="27" ht="26.25" customHeight="1">
      <c r="A27" s="86"/>
      <c r="B27" s="739"/>
      <c r="C27" s="739"/>
      <c r="D27" s="919"/>
      <c r="E27" s="920"/>
      <c r="F27" s="921"/>
      <c r="G27" s="86"/>
      <c r="H27" s="86"/>
      <c r="I27" s="86"/>
      <c r="J27" s="86"/>
    </row>
    <row r="28" ht="17.1" customHeight="1">
      <c r="A28" t="s" s="911">
        <v>984</v>
      </c>
      <c r="B28" s="924">
        <f>SUM(D28/D26)</f>
        <v>0.1238317757009346</v>
      </c>
      <c r="C28" t="s" s="925">
        <v>985</v>
      </c>
      <c r="D28" s="922">
        <f>-SUM('Dev Cash Flow'!F24:F29)-'Dev Cash Flow'!F21</f>
        <v>-152375</v>
      </c>
      <c r="E28" s="923">
        <f>(D28/$D$16)*-1</f>
        <v>262.7155172413793</v>
      </c>
      <c r="F28" s="916"/>
      <c r="G28" s="86"/>
      <c r="H28" s="86"/>
      <c r="I28" s="86"/>
      <c r="J28" s="86"/>
    </row>
    <row r="29" ht="17.1" customHeight="1">
      <c r="A29" s="739"/>
      <c r="B29" s="926"/>
      <c r="C29" s="927"/>
      <c r="D29" s="919"/>
      <c r="E29" s="920"/>
      <c r="F29" s="921"/>
      <c r="G29" s="86"/>
      <c r="H29" s="928"/>
      <c r="I29" s="929"/>
      <c r="J29" s="86"/>
    </row>
    <row r="30" ht="17.1" customHeight="1">
      <c r="A30" t="s" s="7">
        <v>986</v>
      </c>
      <c r="B30" s="86"/>
      <c r="C30" s="736"/>
      <c r="D30" s="930">
        <f>SUM(D28+D26)</f>
        <v>-1382875</v>
      </c>
      <c r="E30" s="923">
        <f>(D30/$D$16)*-12</f>
        <v>28611.206896551725</v>
      </c>
      <c r="F30" s="916"/>
      <c r="G30" s="86"/>
      <c r="H30" s="86"/>
      <c r="I30" s="931"/>
      <c r="J30" s="86"/>
    </row>
    <row r="31" ht="17.1" customHeight="1">
      <c r="A31" s="927"/>
      <c r="B31" s="932"/>
      <c r="C31" s="932"/>
      <c r="D31" s="919"/>
      <c r="E31" s="920"/>
      <c r="F31" s="921"/>
      <c r="G31" s="86"/>
      <c r="H31" s="86"/>
      <c r="I31" s="931"/>
      <c r="J31" s="86"/>
    </row>
    <row r="32" ht="17.1" customHeight="1">
      <c r="A32" t="s" s="911">
        <v>987</v>
      </c>
      <c r="B32" s="127"/>
      <c r="C32" s="730"/>
      <c r="D32" s="922">
        <f>-'Dev Cash Flow'!H44*-1</f>
        <v>-56389.325</v>
      </c>
      <c r="E32" s="923">
        <f>(D32/$D$16)*-1</f>
        <v>97.22297413793103</v>
      </c>
      <c r="F32" s="916"/>
      <c r="G32" s="86"/>
      <c r="H32" s="86"/>
      <c r="I32" s="931"/>
      <c r="J32" s="86"/>
    </row>
    <row r="33" ht="17.1" customHeight="1">
      <c r="A33" s="739"/>
      <c r="B33" s="739"/>
      <c r="C33" s="739"/>
      <c r="D33" s="933"/>
      <c r="E33" s="934"/>
      <c r="F33" s="921"/>
      <c r="G33" s="86"/>
      <c r="H33" s="86"/>
      <c r="I33" s="931"/>
      <c r="J33" s="86"/>
    </row>
    <row r="34" ht="21" customHeight="1">
      <c r="A34" t="s" s="631">
        <v>988</v>
      </c>
      <c r="B34" s="935"/>
      <c r="C34" s="936"/>
      <c r="D34" s="937">
        <f>D30+D32</f>
        <v>-1439264.325</v>
      </c>
      <c r="E34" s="938">
        <f>(D34/$D$16)*-1</f>
        <v>2481.490215517241</v>
      </c>
      <c r="F34" s="939"/>
      <c r="G34" s="86"/>
      <c r="H34" s="86"/>
      <c r="I34" s="940"/>
      <c r="J34" s="941"/>
    </row>
    <row r="35" ht="24" customHeight="1">
      <c r="A35" s="739"/>
      <c r="B35" s="739"/>
      <c r="C35" s="739"/>
      <c r="D35" s="942"/>
      <c r="E35" s="943"/>
      <c r="F35" s="944"/>
      <c r="G35" s="902"/>
      <c r="H35" s="902"/>
      <c r="I35" s="902"/>
      <c r="J35" s="902"/>
    </row>
    <row r="36" ht="17.1" customHeight="1">
      <c r="A36" s="739"/>
      <c r="B36" s="739"/>
      <c r="C36" s="739"/>
      <c r="D36" s="945"/>
      <c r="E36" s="946"/>
      <c r="F36" s="921"/>
      <c r="G36" s="86"/>
      <c r="H36" s="86"/>
      <c r="I36" s="86"/>
      <c r="J36" s="86"/>
    </row>
    <row r="37" ht="17.1" customHeight="1">
      <c r="A37" t="s" s="906">
        <v>989</v>
      </c>
      <c r="B37" s="739"/>
      <c r="C37" s="740"/>
      <c r="D37" s="947"/>
      <c r="E37" s="948"/>
      <c r="F37" s="916"/>
      <c r="G37" s="86"/>
      <c r="H37" s="86"/>
      <c r="I37" s="86"/>
      <c r="J37" s="86"/>
    </row>
    <row r="38" ht="17.1" customHeight="1">
      <c r="A38" s="949"/>
      <c r="B38" s="739"/>
      <c r="C38" s="740"/>
      <c r="D38" t="s" s="950">
        <v>622</v>
      </c>
      <c r="E38" t="s" s="908">
        <v>990</v>
      </c>
      <c r="F38" s="916"/>
      <c r="G38" s="86"/>
      <c r="H38" s="86"/>
      <c r="I38" s="86"/>
      <c r="J38" s="86"/>
    </row>
    <row r="39" ht="17.1" customHeight="1">
      <c r="A39" t="s" s="906">
        <v>991</v>
      </c>
      <c r="B39" s="739"/>
      <c r="C39" s="740"/>
      <c r="D39" s="951"/>
      <c r="E39" s="952"/>
      <c r="F39" s="916"/>
      <c r="G39" s="86"/>
      <c r="H39" s="86"/>
      <c r="I39" s="86"/>
      <c r="J39" s="86"/>
    </row>
    <row r="40" ht="17.1" customHeight="1">
      <c r="A40" t="s" s="911">
        <v>992</v>
      </c>
      <c r="B40" s="739"/>
      <c r="C40" s="740"/>
      <c r="D40" s="953">
        <f>'Project Information'!C37+'Project Information'!C38</f>
        <v>0</v>
      </c>
      <c r="E40" s="913">
        <f>D40/(E9+E11)</f>
      </c>
      <c r="F40" s="916"/>
      <c r="G40" s="86"/>
      <c r="H40" s="86"/>
      <c r="I40" s="86"/>
      <c r="J40" s="86"/>
    </row>
    <row r="41" ht="17.1" customHeight="1">
      <c r="A41" t="s" s="911">
        <v>993</v>
      </c>
      <c r="B41" s="739"/>
      <c r="C41" s="740"/>
      <c r="D41" s="954">
        <f>'Project Information'!C39</f>
        <v>75000</v>
      </c>
      <c r="E41" s="915">
        <f>D41/(E9+E11)</f>
      </c>
      <c r="F41" s="916"/>
      <c r="G41" s="86"/>
      <c r="H41" s="86"/>
      <c r="I41" s="86"/>
      <c r="J41" s="86"/>
    </row>
    <row r="42" ht="17.1" customHeight="1">
      <c r="A42" t="s" s="911">
        <v>188</v>
      </c>
      <c r="B42" s="739"/>
      <c r="C42" s="740"/>
      <c r="D42" s="955">
        <f>'Project Information'!C40</f>
        <v>50000</v>
      </c>
      <c r="E42" s="918">
        <f>D42/E16</f>
        <v>6250</v>
      </c>
      <c r="F42" s="916"/>
      <c r="G42" s="86"/>
      <c r="H42" s="86"/>
      <c r="I42" s="86"/>
      <c r="J42" s="86"/>
    </row>
    <row r="43" ht="17.1" customHeight="1">
      <c r="A43" s="739"/>
      <c r="B43" s="739"/>
      <c r="C43" s="739"/>
      <c r="D43" s="956"/>
      <c r="E43" s="957"/>
      <c r="F43" s="921"/>
      <c r="G43" s="86"/>
      <c r="H43" s="86"/>
      <c r="I43" s="86"/>
      <c r="J43" s="86"/>
    </row>
    <row r="44" ht="17.1" customHeight="1">
      <c r="A44" t="s" s="958">
        <v>994</v>
      </c>
      <c r="B44" s="959"/>
      <c r="C44" s="960"/>
      <c r="D44" s="961">
        <f>SUM(D40:D42)</f>
        <v>125000</v>
      </c>
      <c r="E44" s="962"/>
      <c r="F44" s="921"/>
      <c r="G44" s="86"/>
      <c r="H44" s="86"/>
      <c r="I44" s="86"/>
      <c r="J44" s="86"/>
    </row>
    <row r="45" ht="20.25" customHeight="1">
      <c r="A45" s="739"/>
      <c r="B45" s="739"/>
      <c r="C45" s="739"/>
      <c r="D45" s="963"/>
      <c r="E45" s="964"/>
      <c r="F45" s="965"/>
      <c r="G45" s="959"/>
      <c r="H45" s="959"/>
      <c r="I45" s="959"/>
      <c r="J45" s="959"/>
    </row>
    <row r="46" ht="17.1" customHeight="1">
      <c r="A46" s="949"/>
      <c r="B46" s="739"/>
      <c r="C46" s="740"/>
      <c r="D46" s="947"/>
      <c r="E46" s="966"/>
      <c r="F46" s="916"/>
      <c r="G46" s="86"/>
      <c r="H46" s="86"/>
      <c r="I46" s="86"/>
      <c r="J46" s="86"/>
    </row>
    <row r="47" ht="17.1" customHeight="1">
      <c r="A47" s="949"/>
      <c r="B47" s="739"/>
      <c r="C47" s="740"/>
      <c r="D47" t="s" s="950">
        <v>622</v>
      </c>
      <c r="E47" t="s" s="908">
        <v>990</v>
      </c>
      <c r="F47" s="916"/>
      <c r="G47" s="86"/>
      <c r="H47" s="86"/>
      <c r="I47" s="86"/>
      <c r="J47" s="86"/>
    </row>
    <row r="48" ht="17.1" customHeight="1">
      <c r="A48" t="s" s="906">
        <v>995</v>
      </c>
      <c r="B48" s="739"/>
      <c r="C48" s="740"/>
      <c r="D48" s="951"/>
      <c r="E48" s="967"/>
      <c r="F48" s="916"/>
      <c r="G48" s="86"/>
      <c r="H48" s="86"/>
      <c r="I48" s="86"/>
      <c r="J48" s="86"/>
    </row>
    <row r="49" ht="17.1" customHeight="1">
      <c r="A49" t="s" s="911">
        <v>89</v>
      </c>
      <c r="B49" s="739"/>
      <c r="C49" s="740"/>
      <c r="D49" s="953">
        <f>'Shared Ownership'!J21</f>
        <v>0</v>
      </c>
      <c r="E49" s="913">
        <f>D49/E11</f>
      </c>
      <c r="F49" s="916"/>
      <c r="G49" s="86"/>
      <c r="H49" s="86"/>
      <c r="I49" s="86"/>
      <c r="J49" s="86"/>
    </row>
    <row r="50" ht="17.1" customHeight="1">
      <c r="A50" t="s" s="911">
        <v>48</v>
      </c>
      <c r="B50" s="739"/>
      <c r="C50" s="740"/>
      <c r="D50" s="954">
        <f>'Limited Equity'!J21</f>
        <v>0</v>
      </c>
      <c r="E50" s="915">
        <f>D50/E13</f>
      </c>
      <c r="F50" s="916"/>
      <c r="G50" s="86"/>
      <c r="H50" s="86"/>
      <c r="I50" s="86"/>
      <c r="J50" s="86"/>
    </row>
    <row r="51" ht="17.1" customHeight="1">
      <c r="A51" t="s" s="911">
        <v>996</v>
      </c>
      <c r="B51" s="739"/>
      <c r="C51" s="740"/>
      <c r="D51" s="955">
        <f>'OutrightSale'!H21</f>
        <v>790000</v>
      </c>
      <c r="E51" s="918">
        <f>IF(D51=0,0,D51/E14)</f>
        <v>263333.3333333333</v>
      </c>
      <c r="F51" s="916"/>
      <c r="G51" s="86"/>
      <c r="H51" s="86"/>
      <c r="I51" s="86"/>
      <c r="J51" s="86"/>
    </row>
    <row r="52" ht="17.1" customHeight="1">
      <c r="A52" s="739"/>
      <c r="B52" s="739"/>
      <c r="C52" s="739"/>
      <c r="D52" s="956"/>
      <c r="E52" s="957"/>
      <c r="F52" s="921"/>
      <c r="G52" s="86"/>
      <c r="H52" s="86"/>
      <c r="I52" s="86"/>
      <c r="J52" s="86"/>
    </row>
    <row r="53" ht="17.1" customHeight="1">
      <c r="A53" t="s" s="958">
        <v>997</v>
      </c>
      <c r="B53" s="959"/>
      <c r="C53" s="960"/>
      <c r="D53" s="961">
        <f>SUM(D49:D51)</f>
        <v>790000</v>
      </c>
      <c r="E53" s="962"/>
      <c r="F53" s="921"/>
      <c r="G53" s="86"/>
      <c r="H53" s="86"/>
      <c r="I53" s="86"/>
      <c r="J53" s="86"/>
    </row>
    <row r="54" ht="21" customHeight="1">
      <c r="A54" s="739"/>
      <c r="B54" s="739"/>
      <c r="C54" s="739"/>
      <c r="D54" s="942"/>
      <c r="E54" s="968"/>
      <c r="F54" s="921"/>
      <c r="G54" s="86"/>
      <c r="H54" s="86"/>
      <c r="I54" s="86"/>
      <c r="J54" s="86"/>
    </row>
    <row r="55" ht="17.1" customHeight="1">
      <c r="A55" s="739"/>
      <c r="B55" s="739"/>
      <c r="C55" s="739"/>
      <c r="D55" s="969"/>
      <c r="E55" s="970"/>
      <c r="F55" s="921"/>
      <c r="G55" s="86"/>
      <c r="H55" s="86"/>
      <c r="I55" s="86"/>
      <c r="J55" s="86"/>
    </row>
    <row r="56" ht="17.1" customHeight="1">
      <c r="A56" t="s" s="958">
        <v>998</v>
      </c>
      <c r="B56" s="959"/>
      <c r="C56" s="960"/>
      <c r="D56" s="971">
        <f>D34+D44+D53</f>
        <v>-524264.325</v>
      </c>
      <c r="E56" s="972"/>
      <c r="F56" s="939"/>
      <c r="G56" s="86"/>
      <c r="H56" s="86"/>
      <c r="I56" s="86"/>
      <c r="J56" s="86"/>
    </row>
    <row r="57" ht="21" customHeight="1">
      <c r="A57" s="739"/>
      <c r="B57" s="739"/>
      <c r="C57" s="739"/>
      <c r="D57" s="942"/>
      <c r="E57" s="943"/>
      <c r="F57" s="965"/>
      <c r="G57" s="959"/>
      <c r="H57" s="959"/>
      <c r="I57" s="959"/>
      <c r="J57" s="959"/>
    </row>
    <row r="58" ht="17.1" customHeight="1">
      <c r="A58" s="739"/>
      <c r="B58" s="739"/>
      <c r="C58" s="739"/>
      <c r="D58" s="973"/>
      <c r="E58" s="921"/>
      <c r="F58" s="921"/>
      <c r="G58" s="86"/>
      <c r="H58" s="86"/>
      <c r="I58" s="86"/>
      <c r="J58" s="86"/>
    </row>
    <row r="59" ht="17.1" customHeight="1">
      <c r="A59" s="739"/>
      <c r="B59" s="739"/>
      <c r="C59" s="739"/>
      <c r="D59" s="973"/>
      <c r="E59" s="921"/>
      <c r="F59" s="921"/>
      <c r="G59" s="86"/>
      <c r="H59" s="86"/>
      <c r="I59" s="86"/>
      <c r="J59" s="86"/>
    </row>
    <row r="60" ht="17.1" customHeight="1">
      <c r="A60" s="86"/>
      <c r="B60" s="86"/>
      <c r="C60" s="86"/>
      <c r="D60" s="9"/>
      <c r="E60" s="9"/>
      <c r="F60" s="921"/>
      <c r="G60" s="86"/>
      <c r="H60" s="86"/>
      <c r="I60" s="86"/>
      <c r="J60" s="86"/>
    </row>
    <row r="61" ht="17.1" customHeight="1">
      <c r="A61" s="86"/>
      <c r="B61" s="86"/>
      <c r="C61" s="86"/>
      <c r="D61" s="9"/>
      <c r="E61" s="9"/>
      <c r="F61" s="86"/>
      <c r="G61" s="86"/>
      <c r="H61" s="86"/>
      <c r="I61" s="86"/>
      <c r="J61" s="974"/>
    </row>
    <row r="62" ht="17" customHeight="1">
      <c r="A62" s="11"/>
      <c r="B62" s="11"/>
      <c r="C62" s="11"/>
      <c r="D62" s="11"/>
      <c r="E62" s="9"/>
      <c r="F62" s="9"/>
      <c r="G62" s="9"/>
      <c r="H62" s="9"/>
      <c r="I62" s="9"/>
      <c r="J62" s="9"/>
    </row>
    <row r="63" ht="17" customHeight="1">
      <c r="A63" s="11"/>
      <c r="B63" s="11"/>
      <c r="C63" s="11"/>
      <c r="D63" s="11"/>
      <c r="E63" s="9"/>
      <c r="F63" s="9"/>
      <c r="G63" s="9"/>
      <c r="H63" s="9"/>
      <c r="I63" s="9"/>
      <c r="J63" s="9"/>
    </row>
    <row r="64" ht="17" customHeight="1">
      <c r="A64" s="11"/>
      <c r="B64" s="11"/>
      <c r="C64" s="11"/>
      <c r="D64" s="11"/>
      <c r="E64" s="9"/>
      <c r="F64" s="9"/>
      <c r="G64" s="9"/>
      <c r="H64" s="9"/>
      <c r="I64" s="9"/>
      <c r="J64" s="9"/>
    </row>
    <row r="65" ht="17" customHeight="1">
      <c r="A65" s="11"/>
      <c r="B65" s="11"/>
      <c r="C65" s="11"/>
      <c r="D65" s="11"/>
      <c r="E65" s="9"/>
      <c r="F65" s="9"/>
      <c r="G65" s="9"/>
      <c r="H65" s="9"/>
      <c r="I65" s="9"/>
      <c r="J65" s="9"/>
    </row>
    <row r="66" ht="17" customHeight="1">
      <c r="A66" s="11"/>
      <c r="B66" s="11"/>
      <c r="C66" s="11"/>
      <c r="D66" s="11"/>
      <c r="E66" s="9"/>
      <c r="F66" s="9"/>
      <c r="G66" s="9"/>
      <c r="H66" s="9"/>
      <c r="I66" s="9"/>
      <c r="J66" s="9"/>
    </row>
    <row r="67" ht="17" customHeight="1">
      <c r="A67" s="11"/>
      <c r="B67" s="11"/>
      <c r="C67" s="11"/>
      <c r="D67" s="11"/>
      <c r="E67" s="9"/>
      <c r="F67" s="9"/>
      <c r="G67" s="9"/>
      <c r="H67" s="9"/>
      <c r="I67" s="9"/>
      <c r="J67" s="9"/>
    </row>
    <row r="68" ht="17" customHeight="1">
      <c r="A68" s="11"/>
      <c r="B68" s="11"/>
      <c r="C68" s="11"/>
      <c r="D68" s="11"/>
      <c r="E68" s="9"/>
      <c r="F68" s="9"/>
      <c r="G68" s="9"/>
      <c r="H68" s="9"/>
      <c r="I68" s="9"/>
      <c r="J68" s="9"/>
    </row>
    <row r="69" ht="17" customHeight="1">
      <c r="A69" s="11"/>
      <c r="B69" s="11"/>
      <c r="C69" s="11"/>
      <c r="D69" s="11"/>
      <c r="E69" s="9"/>
      <c r="F69" s="9"/>
      <c r="G69" s="9"/>
      <c r="H69" s="9"/>
      <c r="I69" s="9"/>
      <c r="J69" s="9"/>
    </row>
    <row r="70" ht="17" customHeight="1">
      <c r="A70" s="11"/>
      <c r="B70" s="11"/>
      <c r="C70" s="11"/>
      <c r="D70" s="11"/>
      <c r="E70" s="9"/>
      <c r="F70" s="9"/>
      <c r="G70" s="9"/>
      <c r="H70" s="9"/>
      <c r="I70" s="9"/>
      <c r="J70" s="9"/>
    </row>
    <row r="71" ht="17" customHeight="1">
      <c r="A71" s="11"/>
      <c r="B71" s="11"/>
      <c r="C71" s="11"/>
      <c r="D71" s="11"/>
      <c r="E71" s="9"/>
      <c r="F71" s="9"/>
      <c r="G71" s="9"/>
      <c r="H71" s="9"/>
      <c r="I71" s="9"/>
      <c r="J71" s="9"/>
    </row>
    <row r="72" ht="17" customHeight="1">
      <c r="A72" s="11"/>
      <c r="B72" s="11"/>
      <c r="C72" s="11"/>
      <c r="D72" s="11"/>
      <c r="E72" s="9"/>
      <c r="F72" s="9"/>
      <c r="G72" s="9"/>
      <c r="H72" s="9"/>
      <c r="I72" s="9"/>
      <c r="J72" s="9"/>
    </row>
    <row r="73" ht="17" customHeight="1">
      <c r="A73" s="11"/>
      <c r="B73" s="11"/>
      <c r="C73" s="11"/>
      <c r="D73" s="11"/>
      <c r="E73" s="9"/>
      <c r="F73" s="9"/>
      <c r="G73" s="9"/>
      <c r="H73" s="9"/>
      <c r="I73" s="9"/>
      <c r="J73" s="9"/>
    </row>
    <row r="74" ht="17" customHeight="1">
      <c r="A74" s="11"/>
      <c r="B74" s="11"/>
      <c r="C74" s="11"/>
      <c r="D74" s="11"/>
      <c r="E74" s="9"/>
      <c r="F74" s="9"/>
      <c r="G74" s="9"/>
      <c r="H74" s="9"/>
      <c r="I74" s="9"/>
      <c r="J74" s="9"/>
    </row>
    <row r="75" ht="17" customHeight="1">
      <c r="A75" s="11"/>
      <c r="B75" s="11"/>
      <c r="C75" s="11"/>
      <c r="D75" s="11"/>
      <c r="E75" s="9"/>
      <c r="F75" s="9"/>
      <c r="G75" s="9"/>
      <c r="H75" s="9"/>
      <c r="I75" s="9"/>
      <c r="J75" s="9"/>
    </row>
    <row r="76" ht="17" customHeight="1">
      <c r="A76" s="11"/>
      <c r="B76" s="11"/>
      <c r="C76" s="11"/>
      <c r="D76" s="11"/>
      <c r="E76" s="9"/>
      <c r="F76" s="9"/>
      <c r="G76" s="9"/>
      <c r="H76" s="9"/>
      <c r="I76" s="9"/>
      <c r="J76" s="9"/>
    </row>
    <row r="77" ht="17" customHeight="1">
      <c r="A77" s="11"/>
      <c r="B77" s="11"/>
      <c r="C77" s="11"/>
      <c r="D77" s="11"/>
      <c r="E77" s="9"/>
      <c r="F77" s="9"/>
      <c r="G77" s="9"/>
      <c r="H77" s="9"/>
      <c r="I77" s="9"/>
      <c r="J77" s="9"/>
    </row>
    <row r="78" ht="17" customHeight="1">
      <c r="A78" s="11"/>
      <c r="B78" s="11"/>
      <c r="C78" s="11"/>
      <c r="D78" s="11"/>
      <c r="E78" s="9"/>
      <c r="F78" s="9"/>
      <c r="G78" s="9"/>
      <c r="H78" s="9"/>
      <c r="I78" s="9"/>
      <c r="J78" s="9"/>
    </row>
    <row r="79" ht="17" customHeight="1">
      <c r="A79" s="11"/>
      <c r="B79" s="11"/>
      <c r="C79" s="11"/>
      <c r="D79" s="11"/>
      <c r="E79" s="9"/>
      <c r="F79" s="9"/>
      <c r="G79" s="9"/>
      <c r="H79" s="9"/>
      <c r="I79" s="9"/>
      <c r="J79" s="9"/>
    </row>
    <row r="80" ht="17" customHeight="1">
      <c r="A80" s="11"/>
      <c r="B80" s="11"/>
      <c r="C80" s="11"/>
      <c r="D80" s="11"/>
      <c r="E80" s="9"/>
      <c r="F80" s="9"/>
      <c r="G80" s="9"/>
      <c r="H80" s="9"/>
      <c r="I80" s="9"/>
      <c r="J80" s="9"/>
    </row>
    <row r="81" ht="17" customHeight="1">
      <c r="A81" s="11"/>
      <c r="B81" s="11"/>
      <c r="C81" s="11"/>
      <c r="D81" s="11"/>
      <c r="E81" s="9"/>
      <c r="F81" s="9"/>
      <c r="G81" s="9"/>
      <c r="H81" s="9"/>
      <c r="I81" s="9"/>
      <c r="J81" s="9"/>
    </row>
    <row r="82" ht="17" customHeight="1">
      <c r="A82" s="11"/>
      <c r="B82" s="11"/>
      <c r="C82" s="11"/>
      <c r="D82" s="11"/>
      <c r="E82" s="9"/>
      <c r="F82" s="9"/>
      <c r="G82" s="9"/>
      <c r="H82" s="9"/>
      <c r="I82" s="9"/>
      <c r="J82" s="9"/>
    </row>
    <row r="83" ht="17" customHeight="1">
      <c r="A83" s="11"/>
      <c r="B83" s="11"/>
      <c r="C83" s="11"/>
      <c r="D83" s="11"/>
      <c r="E83" s="9"/>
      <c r="F83" s="9"/>
      <c r="G83" s="9"/>
      <c r="H83" s="9"/>
      <c r="I83" s="9"/>
      <c r="J83" s="9"/>
    </row>
    <row r="84" ht="17" customHeight="1">
      <c r="A84" s="11"/>
      <c r="B84" s="11"/>
      <c r="C84" s="11"/>
      <c r="D84" s="11"/>
      <c r="E84" s="9"/>
      <c r="F84" s="9"/>
      <c r="G84" s="9"/>
      <c r="H84" s="9"/>
      <c r="I84" s="9"/>
      <c r="J84" s="9"/>
    </row>
    <row r="85" ht="17" customHeight="1">
      <c r="A85" s="11"/>
      <c r="B85" s="11"/>
      <c r="C85" s="11"/>
      <c r="D85" s="11"/>
      <c r="E85" s="9"/>
      <c r="F85" s="9"/>
      <c r="G85" s="9"/>
      <c r="H85" s="9"/>
      <c r="I85" s="9"/>
      <c r="J85" s="9"/>
    </row>
    <row r="86" ht="17" customHeight="1">
      <c r="A86" s="11"/>
      <c r="B86" s="11"/>
      <c r="C86" s="11"/>
      <c r="D86" s="11"/>
      <c r="E86" s="9"/>
      <c r="F86" s="9"/>
      <c r="G86" s="9"/>
      <c r="H86" s="9"/>
      <c r="I86" s="9"/>
      <c r="J86" s="9"/>
    </row>
    <row r="87" ht="17" customHeight="1">
      <c r="A87" s="11"/>
      <c r="B87" s="11"/>
      <c r="C87" s="11"/>
      <c r="D87" s="11"/>
      <c r="E87" s="9"/>
      <c r="F87" s="9"/>
      <c r="G87" s="9"/>
      <c r="H87" s="9"/>
      <c r="I87" s="9"/>
      <c r="J87" s="9"/>
    </row>
    <row r="88" ht="17" customHeight="1">
      <c r="A88" s="11"/>
      <c r="B88" s="11"/>
      <c r="C88" s="11"/>
      <c r="D88" s="11"/>
      <c r="E88" s="9"/>
      <c r="F88" s="9"/>
      <c r="G88" s="9"/>
      <c r="H88" s="9"/>
      <c r="I88" s="9"/>
      <c r="J88" s="9"/>
    </row>
    <row r="89" ht="17" customHeight="1">
      <c r="A89" s="11"/>
      <c r="B89" s="11"/>
      <c r="C89" s="11"/>
      <c r="D89" s="11"/>
      <c r="E89" s="9"/>
      <c r="F89" s="9"/>
      <c r="G89" s="9"/>
      <c r="H89" s="9"/>
      <c r="I89" s="9"/>
      <c r="J89" s="9"/>
    </row>
    <row r="90" ht="17" customHeight="1">
      <c r="A90" s="11"/>
      <c r="B90" s="11"/>
      <c r="C90" s="11"/>
      <c r="D90" s="11"/>
      <c r="E90" s="9"/>
      <c r="F90" s="9"/>
      <c r="G90" s="9"/>
      <c r="H90" s="9"/>
      <c r="I90" s="9"/>
      <c r="J90" s="9"/>
    </row>
    <row r="91" ht="17" customHeight="1">
      <c r="A91" s="11"/>
      <c r="B91" s="11"/>
      <c r="C91" s="11"/>
      <c r="D91" s="11"/>
      <c r="E91" s="9"/>
      <c r="F91" s="9"/>
      <c r="G91" s="9"/>
      <c r="H91" s="9"/>
      <c r="I91" s="9"/>
      <c r="J91" s="9"/>
    </row>
    <row r="92" ht="17" customHeight="1">
      <c r="A92" s="11"/>
      <c r="B92" s="11"/>
      <c r="C92" s="11"/>
      <c r="D92" s="11"/>
      <c r="E92" s="9"/>
      <c r="F92" s="9"/>
      <c r="G92" s="9"/>
      <c r="H92" s="9"/>
      <c r="I92" s="9"/>
      <c r="J92" s="9"/>
    </row>
    <row r="93" ht="17" customHeight="1">
      <c r="A93" s="11"/>
      <c r="B93" s="11"/>
      <c r="C93" s="11"/>
      <c r="D93" s="11"/>
      <c r="E93" s="9"/>
      <c r="F93" s="9"/>
      <c r="G93" s="9"/>
      <c r="H93" s="9"/>
      <c r="I93" s="9"/>
      <c r="J93" s="9"/>
    </row>
    <row r="94" ht="17" customHeight="1">
      <c r="A94" s="11"/>
      <c r="B94" s="11"/>
      <c r="C94" s="11"/>
      <c r="D94" s="11"/>
      <c r="E94" s="9"/>
      <c r="F94" s="9"/>
      <c r="G94" s="9"/>
      <c r="H94" s="9"/>
      <c r="I94" s="9"/>
      <c r="J94" s="9"/>
    </row>
    <row r="95" ht="17" customHeight="1">
      <c r="A95" s="11"/>
      <c r="B95" s="11"/>
      <c r="C95" s="11"/>
      <c r="D95" s="11"/>
      <c r="E95" s="9"/>
      <c r="F95" s="9"/>
      <c r="G95" s="9"/>
      <c r="H95" s="9"/>
      <c r="I95" s="9"/>
      <c r="J95" s="9"/>
    </row>
    <row r="96" ht="17" customHeight="1">
      <c r="A96" s="11"/>
      <c r="B96" s="11"/>
      <c r="C96" s="11"/>
      <c r="D96" s="11"/>
      <c r="E96" s="9"/>
      <c r="F96" s="9"/>
      <c r="G96" s="9"/>
      <c r="H96" s="9"/>
      <c r="I96" s="9"/>
      <c r="J96" s="9"/>
    </row>
    <row r="97" ht="17" customHeight="1">
      <c r="A97" s="11"/>
      <c r="B97" s="11"/>
      <c r="C97" s="11"/>
      <c r="D97" s="11"/>
      <c r="E97" s="9"/>
      <c r="F97" s="9"/>
      <c r="G97" s="9"/>
      <c r="H97" s="9"/>
      <c r="I97" s="9"/>
      <c r="J97" s="9"/>
    </row>
    <row r="98" ht="17" customHeight="1">
      <c r="A98" s="11"/>
      <c r="B98" s="11"/>
      <c r="C98" s="11"/>
      <c r="D98" s="11"/>
      <c r="E98" s="9"/>
      <c r="F98" s="9"/>
      <c r="G98" s="9"/>
      <c r="H98" s="9"/>
      <c r="I98" s="9"/>
      <c r="J98" s="9"/>
    </row>
    <row r="99" ht="17" customHeight="1">
      <c r="A99" s="11"/>
      <c r="B99" s="11"/>
      <c r="C99" s="11"/>
      <c r="D99" s="11"/>
      <c r="E99" s="9"/>
      <c r="F99" s="9"/>
      <c r="G99" s="9"/>
      <c r="H99" s="9"/>
      <c r="I99" s="9"/>
      <c r="J99" s="9"/>
    </row>
    <row r="100" ht="17" customHeight="1">
      <c r="A100" s="11"/>
      <c r="B100" s="11"/>
      <c r="C100" s="11"/>
      <c r="D100" s="11"/>
      <c r="E100" s="9"/>
      <c r="F100" s="9"/>
      <c r="G100" s="9"/>
      <c r="H100" s="9"/>
      <c r="I100" s="9"/>
      <c r="J100" s="9"/>
    </row>
    <row r="101" ht="17" customHeight="1">
      <c r="A101" s="11"/>
      <c r="B101" s="11"/>
      <c r="C101" s="11"/>
      <c r="D101" s="11"/>
      <c r="E101" s="9"/>
      <c r="F101" s="9"/>
      <c r="G101" s="9"/>
      <c r="H101" s="9"/>
      <c r="I101" s="9"/>
      <c r="J101" s="9"/>
    </row>
    <row r="102" ht="17" customHeight="1">
      <c r="A102" s="11"/>
      <c r="B102" s="11"/>
      <c r="C102" s="11"/>
      <c r="D102" s="11"/>
      <c r="E102" s="9"/>
      <c r="F102" s="9"/>
      <c r="G102" s="9"/>
      <c r="H102" s="9"/>
      <c r="I102" s="9"/>
      <c r="J102" s="9"/>
    </row>
    <row r="103" ht="17" customHeight="1">
      <c r="A103" s="11"/>
      <c r="B103" s="11"/>
      <c r="C103" s="11"/>
      <c r="D103" s="11"/>
      <c r="E103" s="9"/>
      <c r="F103" s="9"/>
      <c r="G103" s="9"/>
      <c r="H103" s="9"/>
      <c r="I103" s="9"/>
      <c r="J103" s="9"/>
    </row>
    <row r="104" ht="17" customHeight="1">
      <c r="A104" s="11"/>
      <c r="B104" s="11"/>
      <c r="C104" s="11"/>
      <c r="D104" s="11"/>
      <c r="E104" s="9"/>
      <c r="F104" s="9"/>
      <c r="G104" s="9"/>
      <c r="H104" s="9"/>
      <c r="I104" s="9"/>
      <c r="J104" s="9"/>
    </row>
    <row r="105" ht="17" customHeight="1">
      <c r="A105" s="11"/>
      <c r="B105" s="11"/>
      <c r="C105" s="11"/>
      <c r="D105" s="11"/>
      <c r="E105" s="9"/>
      <c r="F105" s="9"/>
      <c r="G105" s="9"/>
      <c r="H105" s="9"/>
      <c r="I105" s="9"/>
      <c r="J105" s="9"/>
    </row>
    <row r="106" ht="17" customHeight="1">
      <c r="A106" s="11"/>
      <c r="B106" s="11"/>
      <c r="C106" s="11"/>
      <c r="D106" s="11"/>
      <c r="E106" s="9"/>
      <c r="F106" s="9"/>
      <c r="G106" s="9"/>
      <c r="H106" s="9"/>
      <c r="I106" s="9"/>
      <c r="J106" s="9"/>
    </row>
    <row r="107" ht="17" customHeight="1">
      <c r="A107" s="11"/>
      <c r="B107" s="11"/>
      <c r="C107" s="11"/>
      <c r="D107" s="11"/>
      <c r="E107" s="9"/>
      <c r="F107" s="9"/>
      <c r="G107" s="9"/>
      <c r="H107" s="9"/>
      <c r="I107" s="9"/>
      <c r="J107" s="9"/>
    </row>
    <row r="108" ht="17" customHeight="1">
      <c r="A108" s="11"/>
      <c r="B108" s="11"/>
      <c r="C108" s="11"/>
      <c r="D108" s="11"/>
      <c r="E108" s="9"/>
      <c r="F108" s="9"/>
      <c r="G108" s="9"/>
      <c r="H108" s="9"/>
      <c r="I108" s="9"/>
      <c r="J108" s="9"/>
    </row>
    <row r="109" ht="17" customHeight="1">
      <c r="A109" s="11"/>
      <c r="B109" s="11"/>
      <c r="C109" s="11"/>
      <c r="D109" s="11"/>
      <c r="E109" s="9"/>
      <c r="F109" s="9"/>
      <c r="G109" s="9"/>
      <c r="H109" s="9"/>
      <c r="I109" s="9"/>
      <c r="J109" s="9"/>
    </row>
    <row r="110" ht="17" customHeight="1">
      <c r="A110" s="11"/>
      <c r="B110" s="11"/>
      <c r="C110" s="11"/>
      <c r="D110" s="11"/>
      <c r="E110" s="9"/>
      <c r="F110" s="9"/>
      <c r="G110" s="9"/>
      <c r="H110" s="9"/>
      <c r="I110" s="9"/>
      <c r="J110" s="9"/>
    </row>
    <row r="111" ht="17" customHeight="1">
      <c r="A111" s="11"/>
      <c r="B111" s="11"/>
      <c r="C111" s="11"/>
      <c r="D111" s="11"/>
      <c r="E111" s="9"/>
      <c r="F111" s="9"/>
      <c r="G111" s="9"/>
      <c r="H111" s="9"/>
      <c r="I111" s="9"/>
      <c r="J111" s="9"/>
    </row>
    <row r="112" ht="17" customHeight="1">
      <c r="A112" s="11"/>
      <c r="B112" s="11"/>
      <c r="C112" s="11"/>
      <c r="D112" s="11"/>
      <c r="E112" s="9"/>
      <c r="F112" s="9"/>
      <c r="G112" s="9"/>
      <c r="H112" s="9"/>
      <c r="I112" s="9"/>
      <c r="J112" s="9"/>
    </row>
    <row r="113" ht="17" customHeight="1">
      <c r="A113" s="11"/>
      <c r="B113" s="11"/>
      <c r="C113" s="11"/>
      <c r="D113" s="11"/>
      <c r="E113" s="9"/>
      <c r="F113" s="9"/>
      <c r="G113" s="9"/>
      <c r="H113" s="9"/>
      <c r="I113" s="9"/>
      <c r="J113" s="9"/>
    </row>
    <row r="114" ht="17" customHeight="1">
      <c r="A114" s="11"/>
      <c r="B114" s="11"/>
      <c r="C114" s="11"/>
      <c r="D114" s="11"/>
      <c r="E114" s="9"/>
      <c r="F114" s="9"/>
      <c r="G114" s="9"/>
      <c r="H114" s="9"/>
      <c r="I114" s="9"/>
      <c r="J114" s="9"/>
    </row>
    <row r="115" ht="17" customHeight="1">
      <c r="A115" s="11"/>
      <c r="B115" s="11"/>
      <c r="C115" s="11"/>
      <c r="D115" s="11"/>
      <c r="E115" s="9"/>
      <c r="F115" s="9"/>
      <c r="G115" s="9"/>
      <c r="H115" s="9"/>
      <c r="I115" s="9"/>
      <c r="J115" s="9"/>
    </row>
    <row r="116" ht="17" customHeight="1">
      <c r="A116" s="11"/>
      <c r="B116" s="11"/>
      <c r="C116" s="11"/>
      <c r="D116" s="11"/>
      <c r="E116" s="9"/>
      <c r="F116" s="9"/>
      <c r="G116" s="9"/>
      <c r="H116" s="9"/>
      <c r="I116" s="9"/>
      <c r="J116" s="9"/>
    </row>
    <row r="117" ht="17" customHeight="1">
      <c r="A117" s="11"/>
      <c r="B117" s="11"/>
      <c r="C117" s="11"/>
      <c r="D117" s="11"/>
      <c r="E117" s="9"/>
      <c r="F117" s="9"/>
      <c r="G117" s="9"/>
      <c r="H117" s="9"/>
      <c r="I117" s="9"/>
      <c r="J117" s="9"/>
    </row>
    <row r="118" ht="17" customHeight="1">
      <c r="A118" s="11"/>
      <c r="B118" s="11"/>
      <c r="C118" s="11"/>
      <c r="D118" s="11"/>
      <c r="E118" s="9"/>
      <c r="F118" s="9"/>
      <c r="G118" s="9"/>
      <c r="H118" s="9"/>
      <c r="I118" s="9"/>
      <c r="J118" s="9"/>
    </row>
    <row r="119" ht="17" customHeight="1">
      <c r="A119" s="11"/>
      <c r="B119" s="11"/>
      <c r="C119" s="11"/>
      <c r="D119" s="11"/>
      <c r="E119" s="9"/>
      <c r="F119" s="9"/>
      <c r="G119" s="9"/>
      <c r="H119" s="9"/>
      <c r="I119" s="9"/>
      <c r="J119" s="9"/>
    </row>
    <row r="120" ht="17" customHeight="1">
      <c r="A120" s="11"/>
      <c r="B120" s="11"/>
      <c r="C120" s="11"/>
      <c r="D120" s="11"/>
      <c r="E120" s="9"/>
      <c r="F120" s="9"/>
      <c r="G120" s="9"/>
      <c r="H120" s="9"/>
      <c r="I120" s="9"/>
      <c r="J120" s="9"/>
    </row>
    <row r="121" ht="17" customHeight="1">
      <c r="A121" s="11"/>
      <c r="B121" s="11"/>
      <c r="C121" s="11"/>
      <c r="D121" s="11"/>
      <c r="E121" s="9"/>
      <c r="F121" s="9"/>
      <c r="G121" s="9"/>
      <c r="H121" s="9"/>
      <c r="I121" s="9"/>
      <c r="J121" s="9"/>
    </row>
    <row r="122" ht="17" customHeight="1">
      <c r="A122" s="11"/>
      <c r="B122" s="11"/>
      <c r="C122" s="11"/>
      <c r="D122" s="11"/>
      <c r="E122" s="9"/>
      <c r="F122" s="9"/>
      <c r="G122" s="9"/>
      <c r="H122" s="9"/>
      <c r="I122" s="9"/>
      <c r="J122" s="9"/>
    </row>
    <row r="123" ht="17" customHeight="1">
      <c r="A123" s="11"/>
      <c r="B123" s="11"/>
      <c r="C123" s="11"/>
      <c r="D123" s="11"/>
      <c r="E123" s="9"/>
      <c r="F123" s="9"/>
      <c r="G123" s="9"/>
      <c r="H123" s="9"/>
      <c r="I123" s="9"/>
      <c r="J123" s="9"/>
    </row>
    <row r="124" ht="17" customHeight="1">
      <c r="A124" s="11"/>
      <c r="B124" s="11"/>
      <c r="C124" s="11"/>
      <c r="D124" s="11"/>
      <c r="E124" s="9"/>
      <c r="F124" s="9"/>
      <c r="G124" s="9"/>
      <c r="H124" s="9"/>
      <c r="I124" s="9"/>
      <c r="J124" s="9"/>
    </row>
    <row r="125" ht="17" customHeight="1">
      <c r="A125" s="11"/>
      <c r="B125" s="11"/>
      <c r="C125" s="11"/>
      <c r="D125" s="11"/>
      <c r="E125" s="9"/>
      <c r="F125" s="9"/>
      <c r="G125" s="9"/>
      <c r="H125" s="9"/>
      <c r="I125" s="9"/>
      <c r="J125" s="9"/>
    </row>
    <row r="126" ht="17" customHeight="1">
      <c r="A126" s="11"/>
      <c r="B126" s="11"/>
      <c r="C126" s="11"/>
      <c r="D126" s="11"/>
      <c r="E126" s="9"/>
      <c r="F126" s="9"/>
      <c r="G126" s="9"/>
      <c r="H126" s="9"/>
      <c r="I126" s="9"/>
      <c r="J126" s="9"/>
    </row>
    <row r="127" ht="17" customHeight="1">
      <c r="A127" s="11"/>
      <c r="B127" s="11"/>
      <c r="C127" s="11"/>
      <c r="D127" s="11"/>
      <c r="E127" s="9"/>
      <c r="F127" s="9"/>
      <c r="G127" s="9"/>
      <c r="H127" s="9"/>
      <c r="I127" s="9"/>
      <c r="J127" s="9"/>
    </row>
    <row r="128" ht="17" customHeight="1">
      <c r="A128" s="11"/>
      <c r="B128" s="11"/>
      <c r="C128" s="11"/>
      <c r="D128" s="11"/>
      <c r="E128" s="9"/>
      <c r="F128" s="9"/>
      <c r="G128" s="9"/>
      <c r="H128" s="9"/>
      <c r="I128" s="9"/>
      <c r="J128" s="9"/>
    </row>
    <row r="129" ht="17" customHeight="1">
      <c r="A129" s="11"/>
      <c r="B129" s="11"/>
      <c r="C129" s="11"/>
      <c r="D129" s="11"/>
      <c r="E129" s="9"/>
      <c r="F129" s="9"/>
      <c r="G129" s="9"/>
      <c r="H129" s="9"/>
      <c r="I129" s="9"/>
      <c r="J129" s="9"/>
    </row>
    <row r="130" ht="17" customHeight="1">
      <c r="A130" s="11"/>
      <c r="B130" s="11"/>
      <c r="C130" s="11"/>
      <c r="D130" s="11"/>
      <c r="E130" s="9"/>
      <c r="F130" s="9"/>
      <c r="G130" s="9"/>
      <c r="H130" s="9"/>
      <c r="I130" s="9"/>
      <c r="J130" s="9"/>
    </row>
    <row r="131" ht="17" customHeight="1">
      <c r="A131" s="11"/>
      <c r="B131" s="11"/>
      <c r="C131" s="11"/>
      <c r="D131" s="11"/>
      <c r="E131" s="11"/>
      <c r="F131" s="9"/>
      <c r="G131" s="9"/>
      <c r="H131" s="9"/>
      <c r="I131" s="9"/>
      <c r="J131" s="9"/>
    </row>
    <row r="132" ht="17" customHeight="1">
      <c r="A132" s="11"/>
      <c r="B132" s="11"/>
      <c r="C132" s="11"/>
      <c r="D132" s="11"/>
      <c r="E132" s="11"/>
      <c r="F132" s="9"/>
      <c r="G132" s="9"/>
      <c r="H132" s="9"/>
      <c r="I132" s="9"/>
      <c r="J132" s="9"/>
    </row>
    <row r="133" ht="17" customHeight="1">
      <c r="A133" s="11"/>
      <c r="B133" s="11"/>
      <c r="C133" s="11"/>
      <c r="D133" s="11"/>
      <c r="E133" s="11"/>
      <c r="F133" s="9"/>
      <c r="G133" s="9"/>
      <c r="H133" s="9"/>
      <c r="I133" s="9"/>
      <c r="J133" s="9"/>
    </row>
    <row r="134" ht="17" customHeight="1">
      <c r="A134" s="11"/>
      <c r="B134" s="11"/>
      <c r="C134" s="11"/>
      <c r="D134" s="11"/>
      <c r="E134" s="11"/>
      <c r="F134" s="9"/>
      <c r="G134" s="9"/>
      <c r="H134" s="9"/>
      <c r="I134" s="9"/>
      <c r="J134" s="9"/>
    </row>
    <row r="135" ht="17" customHeight="1">
      <c r="A135" s="11"/>
      <c r="B135" s="11"/>
      <c r="C135" s="11"/>
      <c r="D135" s="11"/>
      <c r="E135" s="11"/>
      <c r="F135" s="11"/>
      <c r="G135" s="9"/>
      <c r="H135" s="9"/>
      <c r="I135" s="9"/>
      <c r="J135" s="9"/>
    </row>
    <row r="136" ht="17" customHeight="1">
      <c r="A136" s="11"/>
      <c r="B136" s="11"/>
      <c r="C136" s="11"/>
      <c r="D136" s="11"/>
      <c r="E136" s="11"/>
      <c r="F136" s="11"/>
      <c r="G136" s="9"/>
      <c r="H136" s="9"/>
      <c r="I136" s="9"/>
      <c r="J136" s="9"/>
    </row>
    <row r="137" ht="17" customHeight="1">
      <c r="A137" s="11"/>
      <c r="B137" s="11"/>
      <c r="C137" s="11"/>
      <c r="D137" s="11"/>
      <c r="E137" s="11"/>
      <c r="F137" s="11"/>
      <c r="G137" s="9"/>
      <c r="H137" s="9"/>
      <c r="I137" s="9"/>
      <c r="J137" s="9"/>
    </row>
    <row r="138" ht="17" customHeight="1">
      <c r="A138" s="11"/>
      <c r="B138" s="11"/>
      <c r="C138" s="11"/>
      <c r="D138" s="11"/>
      <c r="E138" s="11"/>
      <c r="F138" s="11"/>
      <c r="G138" s="11"/>
      <c r="H138" s="11"/>
      <c r="I138" s="11"/>
      <c r="J138" s="11"/>
    </row>
    <row r="139" ht="17" customHeight="1">
      <c r="A139" s="11"/>
      <c r="B139" s="11"/>
      <c r="C139" s="11"/>
      <c r="D139" s="11"/>
      <c r="E139" s="11"/>
      <c r="F139" s="11"/>
      <c r="G139" s="11"/>
      <c r="H139" s="11"/>
      <c r="I139" s="11"/>
      <c r="J139" s="11"/>
    </row>
    <row r="140" ht="17" customHeight="1">
      <c r="A140" s="11"/>
      <c r="B140" s="11"/>
      <c r="C140" s="11"/>
      <c r="D140" s="11"/>
      <c r="E140" s="11"/>
      <c r="F140" s="11"/>
      <c r="G140" s="11"/>
      <c r="H140" s="11"/>
      <c r="I140" s="11"/>
      <c r="J140" s="11"/>
    </row>
    <row r="141" ht="17" customHeight="1">
      <c r="A141" s="11"/>
      <c r="B141" s="11"/>
      <c r="C141" s="11"/>
      <c r="D141" s="11"/>
      <c r="E141" s="11"/>
      <c r="F141" s="11"/>
      <c r="G141" s="11"/>
      <c r="H141" s="11"/>
      <c r="I141" s="11"/>
      <c r="J141" s="11"/>
    </row>
    <row r="142" ht="17" customHeight="1">
      <c r="A142" s="11"/>
      <c r="B142" s="11"/>
      <c r="C142" s="11"/>
      <c r="D142" s="11"/>
      <c r="E142" s="11"/>
      <c r="F142" s="11"/>
      <c r="G142" s="11"/>
      <c r="H142" s="11"/>
      <c r="I142" s="11"/>
      <c r="J142" s="11"/>
    </row>
    <row r="143" ht="17" customHeight="1">
      <c r="A143" s="11"/>
      <c r="B143" s="11"/>
      <c r="C143" s="11"/>
      <c r="D143" s="11"/>
      <c r="E143" s="11"/>
      <c r="F143" s="11"/>
      <c r="G143" s="11"/>
      <c r="H143" s="11"/>
      <c r="I143" s="11"/>
      <c r="J143" s="11"/>
    </row>
    <row r="144" ht="17" customHeight="1">
      <c r="A144" s="11"/>
      <c r="B144" s="11"/>
      <c r="C144" s="11"/>
      <c r="D144" s="11"/>
      <c r="E144" s="11"/>
      <c r="F144" s="11"/>
      <c r="G144" s="11"/>
      <c r="H144" s="11"/>
      <c r="I144" s="11"/>
      <c r="J144" s="11"/>
    </row>
    <row r="145" ht="17" customHeight="1">
      <c r="A145" s="11"/>
      <c r="B145" s="11"/>
      <c r="C145" s="11"/>
      <c r="D145" s="11"/>
      <c r="E145" s="11"/>
      <c r="F145" s="11"/>
      <c r="G145" s="11"/>
      <c r="H145" s="11"/>
      <c r="I145" s="11"/>
      <c r="J145" s="11"/>
    </row>
    <row r="146" ht="17" customHeight="1">
      <c r="A146" s="11"/>
      <c r="B146" s="11"/>
      <c r="C146" s="11"/>
      <c r="D146" s="11"/>
      <c r="E146" s="11"/>
      <c r="F146" s="11"/>
      <c r="G146" s="11"/>
      <c r="H146" s="11"/>
      <c r="I146" s="11"/>
      <c r="J146" s="11"/>
    </row>
    <row r="147" ht="17" customHeight="1">
      <c r="A147" s="11"/>
      <c r="B147" s="11"/>
      <c r="C147" s="11"/>
      <c r="D147" s="11"/>
      <c r="E147" s="11"/>
      <c r="F147" s="11"/>
      <c r="G147" s="11"/>
      <c r="H147" s="11"/>
      <c r="I147" s="11"/>
      <c r="J147" s="11"/>
    </row>
    <row r="148" ht="17" customHeight="1">
      <c r="A148" s="11"/>
      <c r="B148" s="11"/>
      <c r="C148" s="11"/>
      <c r="D148" s="11"/>
      <c r="E148" s="11"/>
      <c r="F148" s="11"/>
      <c r="G148" s="11"/>
      <c r="H148" s="11"/>
      <c r="I148" s="11"/>
      <c r="J148" s="11"/>
    </row>
    <row r="149" ht="17" customHeight="1">
      <c r="A149" s="11"/>
      <c r="B149" s="11"/>
      <c r="C149" s="11"/>
      <c r="D149" s="11"/>
      <c r="E149" s="11"/>
      <c r="F149" s="11"/>
      <c r="G149" s="11"/>
      <c r="H149" s="11"/>
      <c r="I149" s="11"/>
      <c r="J149" s="11"/>
    </row>
    <row r="150" ht="17" customHeight="1">
      <c r="A150" s="11"/>
      <c r="B150" s="11"/>
      <c r="C150" s="11"/>
      <c r="D150" s="11"/>
      <c r="E150" s="11"/>
      <c r="F150" s="11"/>
      <c r="G150" s="11"/>
      <c r="H150" s="11"/>
      <c r="I150" s="11"/>
      <c r="J150" s="11"/>
    </row>
    <row r="151" ht="17" customHeight="1">
      <c r="A151" s="11"/>
      <c r="B151" s="11"/>
      <c r="C151" s="11"/>
      <c r="D151" s="11"/>
      <c r="E151" s="11"/>
      <c r="F151" s="11"/>
      <c r="G151" s="11"/>
      <c r="H151" s="11"/>
      <c r="I151" s="11"/>
      <c r="J151" s="11"/>
    </row>
    <row r="152" ht="17" customHeight="1">
      <c r="A152" s="11"/>
      <c r="B152" s="11"/>
      <c r="C152" s="11"/>
      <c r="D152" s="11"/>
      <c r="E152" s="11"/>
      <c r="F152" s="11"/>
      <c r="G152" s="11"/>
      <c r="H152" s="11"/>
      <c r="I152" s="11"/>
      <c r="J152" s="11"/>
    </row>
    <row r="153" ht="17" customHeight="1">
      <c r="A153" s="11"/>
      <c r="B153" s="11"/>
      <c r="C153" s="11"/>
      <c r="D153" s="11"/>
      <c r="E153" s="11"/>
      <c r="F153" s="11"/>
      <c r="G153" s="11"/>
      <c r="H153" s="11"/>
      <c r="I153" s="11"/>
      <c r="J153" s="11"/>
    </row>
    <row r="154" ht="17" customHeight="1">
      <c r="A154" s="11"/>
      <c r="B154" s="11"/>
      <c r="C154" s="11"/>
      <c r="D154" s="11"/>
      <c r="E154" s="11"/>
      <c r="F154" s="11"/>
      <c r="G154" s="11"/>
      <c r="H154" s="11"/>
      <c r="I154" s="11"/>
      <c r="J154" s="11"/>
    </row>
    <row r="155" ht="17" customHeight="1">
      <c r="A155" s="11"/>
      <c r="B155" s="11"/>
      <c r="C155" s="11"/>
      <c r="D155" s="11"/>
      <c r="E155" s="11"/>
      <c r="F155" s="11"/>
      <c r="G155" s="11"/>
      <c r="H155" s="11"/>
      <c r="I155" s="11"/>
      <c r="J155" s="11"/>
    </row>
    <row r="156" ht="17" customHeight="1">
      <c r="A156" s="11"/>
      <c r="B156" s="11"/>
      <c r="C156" s="11"/>
      <c r="D156" s="11"/>
      <c r="E156" s="11"/>
      <c r="F156" s="11"/>
      <c r="G156" s="11"/>
      <c r="H156" s="11"/>
      <c r="I156" s="11"/>
      <c r="J156" s="11"/>
    </row>
    <row r="157" ht="17" customHeight="1">
      <c r="A157" s="11"/>
      <c r="B157" s="11"/>
      <c r="C157" s="11"/>
      <c r="D157" s="11"/>
      <c r="E157" s="11"/>
      <c r="F157" s="11"/>
      <c r="G157" s="11"/>
      <c r="H157" s="11"/>
      <c r="I157" s="11"/>
      <c r="J157" s="11"/>
    </row>
    <row r="158" ht="17" customHeight="1">
      <c r="A158" s="11"/>
      <c r="B158" s="11"/>
      <c r="C158" s="11"/>
      <c r="D158" s="11"/>
      <c r="E158" s="11"/>
      <c r="F158" s="11"/>
      <c r="G158" s="11"/>
      <c r="H158" s="11"/>
      <c r="I158" s="11"/>
      <c r="J158" s="11"/>
    </row>
    <row r="159" ht="17" customHeight="1">
      <c r="A159" s="11"/>
      <c r="B159" s="11"/>
      <c r="C159" s="11"/>
      <c r="D159" s="11"/>
      <c r="E159" s="11"/>
      <c r="F159" s="11"/>
      <c r="G159" s="11"/>
      <c r="H159" s="11"/>
      <c r="I159" s="11"/>
      <c r="J159" s="11"/>
    </row>
    <row r="160" ht="17" customHeight="1">
      <c r="A160" s="11"/>
      <c r="B160" s="11"/>
      <c r="C160" s="11"/>
      <c r="D160" s="11"/>
      <c r="E160" s="11"/>
      <c r="F160" s="11"/>
      <c r="G160" s="11"/>
      <c r="H160" s="11"/>
      <c r="I160" s="11"/>
      <c r="J160" s="11"/>
    </row>
    <row r="161" ht="17" customHeight="1">
      <c r="A161" s="11"/>
      <c r="B161" s="11"/>
      <c r="C161" s="11"/>
      <c r="D161" s="11"/>
      <c r="E161" s="11"/>
      <c r="F161" s="11"/>
      <c r="G161" s="11"/>
      <c r="H161" s="11"/>
      <c r="I161" s="11"/>
      <c r="J161" s="11"/>
    </row>
    <row r="162" ht="17" customHeight="1">
      <c r="A162" s="11"/>
      <c r="B162" s="11"/>
      <c r="C162" s="11"/>
      <c r="D162" s="11"/>
      <c r="E162" s="11"/>
      <c r="F162" s="11"/>
      <c r="G162" s="11"/>
      <c r="H162" s="11"/>
      <c r="I162" s="11"/>
      <c r="J162" s="11"/>
    </row>
    <row r="163" ht="17" customHeight="1">
      <c r="A163" s="11"/>
      <c r="B163" s="11"/>
      <c r="C163" s="11"/>
      <c r="D163" s="11"/>
      <c r="E163" s="11"/>
      <c r="F163" s="11"/>
      <c r="G163" s="11"/>
      <c r="H163" s="11"/>
      <c r="I163" s="11"/>
      <c r="J163" s="11"/>
    </row>
    <row r="164" ht="17" customHeight="1">
      <c r="A164" s="11"/>
      <c r="B164" s="11"/>
      <c r="C164" s="11"/>
      <c r="D164" s="11"/>
      <c r="E164" s="11"/>
      <c r="F164" s="11"/>
      <c r="G164" s="11"/>
      <c r="H164" s="11"/>
      <c r="I164" s="11"/>
      <c r="J164" s="11"/>
    </row>
    <row r="165" ht="17" customHeight="1">
      <c r="A165" s="11"/>
      <c r="B165" s="11"/>
      <c r="C165" s="11"/>
      <c r="D165" s="11"/>
      <c r="E165" s="11"/>
      <c r="F165" s="11"/>
      <c r="G165" s="11"/>
      <c r="H165" s="11"/>
      <c r="I165" s="11"/>
      <c r="J165" s="11"/>
    </row>
    <row r="166" ht="17" customHeight="1">
      <c r="A166" s="11"/>
      <c r="B166" s="11"/>
      <c r="C166" s="11"/>
      <c r="D166" s="11"/>
      <c r="E166" s="11"/>
      <c r="F166" s="11"/>
      <c r="G166" s="11"/>
      <c r="H166" s="11"/>
      <c r="I166" s="11"/>
      <c r="J166" s="11"/>
    </row>
    <row r="167" ht="17" customHeight="1">
      <c r="A167" s="11"/>
      <c r="B167" s="11"/>
      <c r="C167" s="11"/>
      <c r="D167" s="11"/>
      <c r="E167" s="11"/>
      <c r="F167" s="11"/>
      <c r="G167" s="11"/>
      <c r="H167" s="11"/>
      <c r="I167" s="11"/>
      <c r="J167" s="11"/>
    </row>
    <row r="168" ht="17" customHeight="1">
      <c r="A168" s="11"/>
      <c r="B168" s="11"/>
      <c r="C168" s="11"/>
      <c r="D168" s="11"/>
      <c r="E168" s="11"/>
      <c r="F168" s="11"/>
      <c r="G168" s="11"/>
      <c r="H168" s="11"/>
      <c r="I168" s="11"/>
      <c r="J168" s="11"/>
    </row>
    <row r="169" ht="17" customHeight="1">
      <c r="A169" s="11"/>
      <c r="B169" s="11"/>
      <c r="C169" s="11"/>
      <c r="D169" s="11"/>
      <c r="E169" s="11"/>
      <c r="F169" s="11"/>
      <c r="G169" s="11"/>
      <c r="H169" s="11"/>
      <c r="I169" s="11"/>
      <c r="J169" s="11"/>
    </row>
    <row r="170" ht="17" customHeight="1">
      <c r="A170" s="11"/>
      <c r="B170" s="11"/>
      <c r="C170" s="11"/>
      <c r="D170" s="11"/>
      <c r="E170" s="11"/>
      <c r="F170" s="11"/>
      <c r="G170" s="11"/>
      <c r="H170" s="11"/>
      <c r="I170" s="11"/>
      <c r="J170" s="11"/>
    </row>
    <row r="171" ht="17" customHeight="1">
      <c r="A171" s="11"/>
      <c r="B171" s="11"/>
      <c r="C171" s="11"/>
      <c r="D171" s="11"/>
      <c r="E171" s="11"/>
      <c r="F171" s="11"/>
      <c r="G171" s="11"/>
      <c r="H171" s="11"/>
      <c r="I171" s="11"/>
      <c r="J171" s="11"/>
    </row>
    <row r="172" ht="17" customHeight="1">
      <c r="A172" s="11"/>
      <c r="B172" s="11"/>
      <c r="C172" s="11"/>
      <c r="D172" s="11"/>
      <c r="E172" s="11"/>
      <c r="F172" s="11"/>
      <c r="G172" s="11"/>
      <c r="H172" s="11"/>
      <c r="I172" s="11"/>
      <c r="J172" s="11"/>
    </row>
    <row r="173" ht="17" customHeight="1">
      <c r="A173" s="11"/>
      <c r="B173" s="11"/>
      <c r="C173" s="11"/>
      <c r="D173" s="11"/>
      <c r="E173" s="11"/>
      <c r="F173" s="11"/>
      <c r="G173" s="11"/>
      <c r="H173" s="11"/>
      <c r="I173" s="11"/>
      <c r="J173" s="11"/>
    </row>
    <row r="174" ht="17" customHeight="1">
      <c r="A174" s="11"/>
      <c r="B174" s="11"/>
      <c r="C174" s="11"/>
      <c r="D174" s="11"/>
      <c r="E174" s="11"/>
      <c r="F174" s="11"/>
      <c r="G174" s="11"/>
      <c r="H174" s="11"/>
      <c r="I174" s="11"/>
      <c r="J174" s="11"/>
    </row>
    <row r="175" ht="17" customHeight="1">
      <c r="A175" s="11"/>
      <c r="B175" s="11"/>
      <c r="C175" s="11"/>
      <c r="D175" s="11"/>
      <c r="E175" s="11"/>
      <c r="F175" s="11"/>
      <c r="G175" s="11"/>
      <c r="H175" s="11"/>
      <c r="I175" s="11"/>
      <c r="J175" s="11"/>
    </row>
    <row r="176" ht="17" customHeight="1">
      <c r="A176" s="11"/>
      <c r="B176" s="11"/>
      <c r="C176" s="11"/>
      <c r="D176" s="11"/>
      <c r="E176" s="11"/>
      <c r="F176" s="11"/>
      <c r="G176" s="11"/>
      <c r="H176" s="11"/>
      <c r="I176" s="11"/>
      <c r="J176" s="11"/>
    </row>
    <row r="177" ht="17" customHeight="1">
      <c r="A177" s="11"/>
      <c r="B177" s="11"/>
      <c r="C177" s="11"/>
      <c r="D177" s="11"/>
      <c r="E177" s="11"/>
      <c r="F177" s="11"/>
      <c r="G177" s="11"/>
      <c r="H177" s="11"/>
      <c r="I177" s="11"/>
      <c r="J177" s="11"/>
    </row>
    <row r="178" ht="17" customHeight="1">
      <c r="A178" s="11"/>
      <c r="B178" s="11"/>
      <c r="C178" s="11"/>
      <c r="D178" s="11"/>
      <c r="E178" s="11"/>
      <c r="F178" s="11"/>
      <c r="G178" s="11"/>
      <c r="H178" s="11"/>
      <c r="I178" s="11"/>
      <c r="J178" s="11"/>
    </row>
    <row r="179" ht="17" customHeight="1">
      <c r="A179" s="11"/>
      <c r="B179" s="11"/>
      <c r="C179" s="11"/>
      <c r="D179" s="11"/>
      <c r="E179" s="11"/>
      <c r="F179" s="11"/>
      <c r="G179" s="11"/>
      <c r="H179" s="11"/>
      <c r="I179" s="11"/>
      <c r="J179" s="11"/>
    </row>
    <row r="180" ht="17" customHeight="1">
      <c r="A180" s="11"/>
      <c r="B180" s="11"/>
      <c r="C180" s="11"/>
      <c r="D180" s="11"/>
      <c r="E180" s="11"/>
      <c r="F180" s="11"/>
      <c r="G180" s="11"/>
      <c r="H180" s="11"/>
      <c r="I180" s="11"/>
      <c r="J180" s="11"/>
    </row>
    <row r="181" ht="17" customHeight="1">
      <c r="A181" s="11"/>
      <c r="B181" s="11"/>
      <c r="C181" s="11"/>
      <c r="D181" s="11"/>
      <c r="E181" s="11"/>
      <c r="F181" s="11"/>
      <c r="G181" s="11"/>
      <c r="H181" s="11"/>
      <c r="I181" s="11"/>
      <c r="J181" s="11"/>
    </row>
    <row r="182" ht="17" customHeight="1">
      <c r="A182" s="11"/>
      <c r="B182" s="11"/>
      <c r="C182" s="11"/>
      <c r="D182" s="11"/>
      <c r="E182" s="11"/>
      <c r="F182" s="11"/>
      <c r="G182" s="11"/>
      <c r="H182" s="11"/>
      <c r="I182" s="11"/>
      <c r="J182" s="11"/>
    </row>
    <row r="183" ht="17" customHeight="1">
      <c r="A183" s="11"/>
      <c r="B183" s="11"/>
      <c r="C183" s="11"/>
      <c r="D183" s="11"/>
      <c r="E183" s="11"/>
      <c r="F183" s="11"/>
      <c r="G183" s="11"/>
      <c r="H183" s="11"/>
      <c r="I183" s="11"/>
      <c r="J183" s="11"/>
    </row>
    <row r="184" ht="17" customHeight="1">
      <c r="A184" s="11"/>
      <c r="B184" s="11"/>
      <c r="C184" s="11"/>
      <c r="D184" s="11"/>
      <c r="E184" s="11"/>
      <c r="F184" s="11"/>
      <c r="G184" s="11"/>
      <c r="H184" s="11"/>
      <c r="I184" s="11"/>
      <c r="J184" s="11"/>
    </row>
    <row r="185" ht="17" customHeight="1">
      <c r="A185" s="11"/>
      <c r="B185" s="11"/>
      <c r="C185" s="11"/>
      <c r="D185" s="11"/>
      <c r="E185" s="11"/>
      <c r="F185" s="11"/>
      <c r="G185" s="11"/>
      <c r="H185" s="11"/>
      <c r="I185" s="11"/>
      <c r="J185" s="11"/>
    </row>
    <row r="186" ht="17" customHeight="1">
      <c r="A186" s="11"/>
      <c r="B186" s="11"/>
      <c r="C186" s="11"/>
      <c r="D186" s="11"/>
      <c r="E186" s="11"/>
      <c r="F186" s="11"/>
      <c r="G186" s="11"/>
      <c r="H186" s="11"/>
      <c r="I186" s="11"/>
      <c r="J186" s="11"/>
    </row>
    <row r="187" ht="17" customHeight="1">
      <c r="A187" s="11"/>
      <c r="B187" s="11"/>
      <c r="C187" s="11"/>
      <c r="D187" s="11"/>
      <c r="E187" s="11"/>
      <c r="F187" s="11"/>
      <c r="G187" s="11"/>
      <c r="H187" s="11"/>
      <c r="I187" s="11"/>
      <c r="J187" s="11"/>
    </row>
    <row r="188" ht="17" customHeight="1">
      <c r="A188" s="11"/>
      <c r="B188" s="11"/>
      <c r="C188" s="11"/>
      <c r="D188" s="11"/>
      <c r="E188" s="11"/>
      <c r="F188" s="11"/>
      <c r="G188" s="11"/>
      <c r="H188" s="11"/>
      <c r="I188" s="11"/>
      <c r="J188" s="11"/>
    </row>
    <row r="189" ht="17" customHeight="1">
      <c r="A189" s="11"/>
      <c r="B189" s="11"/>
      <c r="C189" s="11"/>
      <c r="D189" s="11"/>
      <c r="E189" s="11"/>
      <c r="F189" s="11"/>
      <c r="G189" s="11"/>
      <c r="H189" s="11"/>
      <c r="I189" s="11"/>
      <c r="J189" s="11"/>
    </row>
    <row r="190" ht="17" customHeight="1">
      <c r="A190" s="11"/>
      <c r="B190" s="11"/>
      <c r="C190" s="11"/>
      <c r="D190" s="11"/>
      <c r="E190" s="11"/>
      <c r="F190" s="11"/>
      <c r="G190" s="11"/>
      <c r="H190" s="11"/>
      <c r="I190" s="11"/>
      <c r="J190" s="11"/>
    </row>
    <row r="191" ht="17" customHeight="1">
      <c r="A191" s="11"/>
      <c r="B191" s="11"/>
      <c r="C191" s="11"/>
      <c r="D191" s="11"/>
      <c r="E191" s="11"/>
      <c r="F191" s="11"/>
      <c r="G191" s="11"/>
      <c r="H191" s="11"/>
      <c r="I191" s="11"/>
      <c r="J191" s="11"/>
    </row>
    <row r="192" ht="17" customHeight="1">
      <c r="A192" s="11"/>
      <c r="B192" s="11"/>
      <c r="C192" s="11"/>
      <c r="D192" s="11"/>
      <c r="E192" s="11"/>
      <c r="F192" s="11"/>
      <c r="G192" s="11"/>
      <c r="H192" s="11"/>
      <c r="I192" s="11"/>
      <c r="J192" s="11"/>
    </row>
    <row r="193" ht="17" customHeight="1">
      <c r="A193" s="11"/>
      <c r="B193" s="11"/>
      <c r="C193" s="11"/>
      <c r="D193" s="11"/>
      <c r="E193" s="11"/>
      <c r="F193" s="11"/>
      <c r="G193" s="11"/>
      <c r="H193" s="11"/>
      <c r="I193" s="11"/>
      <c r="J193" s="11"/>
    </row>
    <row r="194" ht="17" customHeight="1">
      <c r="A194" s="11"/>
      <c r="B194" s="11"/>
      <c r="C194" s="11"/>
      <c r="D194" s="11"/>
      <c r="E194" s="11"/>
      <c r="F194" s="11"/>
      <c r="G194" s="11"/>
      <c r="H194" s="11"/>
      <c r="I194" s="11"/>
      <c r="J194" s="11"/>
    </row>
    <row r="195" ht="17" customHeight="1">
      <c r="A195" s="11"/>
      <c r="B195" s="11"/>
      <c r="C195" s="11"/>
      <c r="D195" s="11"/>
      <c r="E195" s="11"/>
      <c r="F195" s="11"/>
      <c r="G195" s="11"/>
      <c r="H195" s="11"/>
      <c r="I195" s="11"/>
      <c r="J195" s="11"/>
    </row>
    <row r="196" ht="17" customHeight="1">
      <c r="A196" s="11"/>
      <c r="B196" s="11"/>
      <c r="C196" s="11"/>
      <c r="D196" s="11"/>
      <c r="E196" s="11"/>
      <c r="F196" s="11"/>
      <c r="G196" s="11"/>
      <c r="H196" s="11"/>
      <c r="I196" s="11"/>
      <c r="J196" s="11"/>
    </row>
    <row r="197" ht="17" customHeight="1">
      <c r="A197" s="11"/>
      <c r="B197" s="11"/>
      <c r="C197" s="11"/>
      <c r="D197" s="11"/>
      <c r="E197" s="11"/>
      <c r="F197" s="11"/>
      <c r="G197" s="11"/>
      <c r="H197" s="11"/>
      <c r="I197" s="11"/>
      <c r="J197" s="11"/>
    </row>
    <row r="198" ht="17" customHeight="1">
      <c r="A198" s="11"/>
      <c r="B198" s="11"/>
      <c r="C198" s="11"/>
      <c r="D198" s="11"/>
      <c r="E198" s="11"/>
      <c r="F198" s="11"/>
      <c r="G198" s="11"/>
      <c r="H198" s="11"/>
      <c r="I198" s="11"/>
      <c r="J198" s="11"/>
    </row>
    <row r="199" ht="17" customHeight="1">
      <c r="A199" s="11"/>
      <c r="B199" s="11"/>
      <c r="C199" s="11"/>
      <c r="D199" s="11"/>
      <c r="E199" s="11"/>
      <c r="F199" s="11"/>
      <c r="G199" s="11"/>
      <c r="H199" s="11"/>
      <c r="I199" s="11"/>
      <c r="J199" s="11"/>
    </row>
    <row r="200" ht="17" customHeight="1">
      <c r="A200" s="11"/>
      <c r="B200" s="11"/>
      <c r="C200" s="11"/>
      <c r="D200" s="11"/>
      <c r="E200" s="11"/>
      <c r="F200" s="11"/>
      <c r="G200" s="11"/>
      <c r="H200" s="11"/>
      <c r="I200" s="11"/>
      <c r="J200" s="11"/>
    </row>
    <row r="201" ht="17" customHeight="1">
      <c r="A201" s="11"/>
      <c r="B201" s="11"/>
      <c r="C201" s="11"/>
      <c r="D201" s="11"/>
      <c r="E201" s="11"/>
      <c r="F201" s="11"/>
      <c r="G201" s="11"/>
      <c r="H201" s="11"/>
      <c r="I201" s="11"/>
      <c r="J201" s="11"/>
    </row>
    <row r="202" ht="17" customHeight="1">
      <c r="A202" s="11"/>
      <c r="B202" s="11"/>
      <c r="C202" s="11"/>
      <c r="D202" s="11"/>
      <c r="E202" s="11"/>
      <c r="F202" s="11"/>
      <c r="G202" s="11"/>
      <c r="H202" s="11"/>
      <c r="I202" s="11"/>
      <c r="J202" s="11"/>
    </row>
    <row r="203" ht="17" customHeight="1">
      <c r="A203" s="11"/>
      <c r="B203" s="11"/>
      <c r="C203" s="11"/>
      <c r="D203" s="11"/>
      <c r="E203" s="11"/>
      <c r="F203" s="11"/>
      <c r="G203" s="11"/>
      <c r="H203" s="11"/>
      <c r="I203" s="11"/>
      <c r="J203" s="11"/>
    </row>
    <row r="204" ht="17" customHeight="1">
      <c r="A204" s="11"/>
      <c r="B204" s="11"/>
      <c r="C204" s="11"/>
      <c r="D204" s="11"/>
      <c r="E204" s="11"/>
      <c r="F204" s="11"/>
      <c r="G204" s="11"/>
      <c r="H204" s="11"/>
      <c r="I204" s="11"/>
      <c r="J204" s="11"/>
    </row>
    <row r="205" ht="17" customHeight="1">
      <c r="A205" s="11"/>
      <c r="B205" s="11"/>
      <c r="C205" s="11"/>
      <c r="D205" s="11"/>
      <c r="E205" s="11"/>
      <c r="F205" s="11"/>
      <c r="G205" s="11"/>
      <c r="H205" s="11"/>
      <c r="I205" s="11"/>
      <c r="J205" s="11"/>
    </row>
    <row r="206" ht="17" customHeight="1">
      <c r="A206" s="11"/>
      <c r="B206" s="11"/>
      <c r="C206" s="11"/>
      <c r="D206" s="11"/>
      <c r="E206" s="11"/>
      <c r="F206" s="11"/>
      <c r="G206" s="11"/>
      <c r="H206" s="11"/>
      <c r="I206" s="11"/>
      <c r="J206" s="11"/>
    </row>
    <row r="207" ht="17" customHeight="1">
      <c r="A207" s="11"/>
      <c r="B207" s="11"/>
      <c r="C207" s="11"/>
      <c r="D207" s="11"/>
      <c r="E207" s="11"/>
      <c r="F207" s="11"/>
      <c r="G207" s="11"/>
      <c r="H207" s="11"/>
      <c r="I207" s="11"/>
      <c r="J207" s="11"/>
    </row>
    <row r="208" ht="17" customHeight="1">
      <c r="A208" s="11"/>
      <c r="B208" s="11"/>
      <c r="C208" s="11"/>
      <c r="D208" s="11"/>
      <c r="E208" s="11"/>
      <c r="F208" s="11"/>
      <c r="G208" s="11"/>
      <c r="H208" s="11"/>
      <c r="I208" s="11"/>
      <c r="J208" s="11"/>
    </row>
    <row r="209" ht="17" customHeight="1">
      <c r="A209" s="11"/>
      <c r="B209" s="11"/>
      <c r="C209" s="11"/>
      <c r="D209" s="11"/>
      <c r="E209" s="11"/>
      <c r="F209" s="11"/>
      <c r="G209" s="11"/>
      <c r="H209" s="11"/>
      <c r="I209" s="11"/>
      <c r="J209" s="11"/>
    </row>
    <row r="210" ht="17" customHeight="1">
      <c r="A210" s="11"/>
      <c r="B210" s="11"/>
      <c r="C210" s="11"/>
      <c r="D210" s="11"/>
      <c r="E210" s="11"/>
      <c r="F210" s="11"/>
      <c r="G210" s="11"/>
      <c r="H210" s="11"/>
      <c r="I210" s="11"/>
      <c r="J210" s="11"/>
    </row>
    <row r="211" ht="17" customHeight="1">
      <c r="A211" s="11"/>
      <c r="B211" s="11"/>
      <c r="C211" s="11"/>
      <c r="D211" s="11"/>
      <c r="E211" s="11"/>
      <c r="F211" s="11"/>
      <c r="G211" s="11"/>
      <c r="H211" s="11"/>
      <c r="I211" s="11"/>
      <c r="J211" s="11"/>
    </row>
    <row r="212" ht="17" customHeight="1">
      <c r="A212" s="11"/>
      <c r="B212" s="11"/>
      <c r="C212" s="11"/>
      <c r="D212" s="11"/>
      <c r="E212" s="11"/>
      <c r="F212" s="11"/>
      <c r="G212" s="11"/>
      <c r="H212" s="11"/>
      <c r="I212" s="11"/>
      <c r="J212" s="11"/>
    </row>
    <row r="213" ht="17" customHeight="1">
      <c r="A213" s="11"/>
      <c r="B213" s="11"/>
      <c r="C213" s="11"/>
      <c r="D213" s="11"/>
      <c r="E213" s="11"/>
      <c r="F213" s="11"/>
      <c r="G213" s="11"/>
      <c r="H213" s="11"/>
      <c r="I213" s="11"/>
      <c r="J213" s="11"/>
    </row>
    <row r="214" ht="17" customHeight="1">
      <c r="A214" s="11"/>
      <c r="B214" s="11"/>
      <c r="C214" s="11"/>
      <c r="D214" s="11"/>
      <c r="E214" s="11"/>
      <c r="F214" s="11"/>
      <c r="G214" s="11"/>
      <c r="H214" s="11"/>
      <c r="I214" s="11"/>
      <c r="J214" s="11"/>
    </row>
    <row r="215" ht="17" customHeight="1">
      <c r="A215" s="11"/>
      <c r="B215" s="11"/>
      <c r="C215" s="11"/>
      <c r="D215" s="11"/>
      <c r="E215" s="11"/>
      <c r="F215" s="11"/>
      <c r="G215" s="11"/>
      <c r="H215" s="11"/>
      <c r="I215" s="11"/>
      <c r="J215" s="11"/>
    </row>
    <row r="216" ht="17" customHeight="1">
      <c r="A216" s="11"/>
      <c r="B216" s="11"/>
      <c r="C216" s="11"/>
      <c r="D216" s="11"/>
      <c r="E216" s="11"/>
      <c r="F216" s="11"/>
      <c r="G216" s="11"/>
      <c r="H216" s="11"/>
      <c r="I216" s="11"/>
      <c r="J216" s="11"/>
    </row>
    <row r="217" ht="17" customHeight="1">
      <c r="A217" s="11"/>
      <c r="B217" s="11"/>
      <c r="C217" s="11"/>
      <c r="D217" s="11"/>
      <c r="E217" s="11"/>
      <c r="F217" s="11"/>
      <c r="G217" s="11"/>
      <c r="H217" s="11"/>
      <c r="I217" s="11"/>
      <c r="J217" s="11"/>
    </row>
    <row r="218" ht="17" customHeight="1">
      <c r="A218" s="11"/>
      <c r="B218" s="11"/>
      <c r="C218" s="11"/>
      <c r="D218" s="11"/>
      <c r="E218" s="11"/>
      <c r="F218" s="11"/>
      <c r="G218" s="11"/>
      <c r="H218" s="11"/>
      <c r="I218" s="11"/>
      <c r="J218" s="11"/>
    </row>
    <row r="219" ht="17" customHeight="1">
      <c r="A219" s="11"/>
      <c r="B219" s="11"/>
      <c r="C219" s="11"/>
      <c r="D219" s="11"/>
      <c r="E219" s="11"/>
      <c r="F219" s="11"/>
      <c r="G219" s="11"/>
      <c r="H219" s="11"/>
      <c r="I219" s="11"/>
      <c r="J219" s="11"/>
    </row>
    <row r="220" ht="17" customHeight="1">
      <c r="A220" s="11"/>
      <c r="B220" s="11"/>
      <c r="C220" s="11"/>
      <c r="D220" s="11"/>
      <c r="E220" s="11"/>
      <c r="F220" s="11"/>
      <c r="G220" s="11"/>
      <c r="H220" s="11"/>
      <c r="I220" s="11"/>
      <c r="J220" s="11"/>
    </row>
    <row r="221" ht="17" customHeight="1">
      <c r="A221" s="11"/>
      <c r="B221" s="11"/>
      <c r="C221" s="11"/>
      <c r="D221" s="11"/>
      <c r="E221" s="11"/>
      <c r="F221" s="11"/>
      <c r="G221" s="11"/>
      <c r="H221" s="11"/>
      <c r="I221" s="11"/>
      <c r="J221" s="11"/>
    </row>
    <row r="222" ht="17" customHeight="1">
      <c r="A222" s="11"/>
      <c r="B222" s="11"/>
      <c r="C222" s="11"/>
      <c r="D222" s="11"/>
      <c r="E222" s="11"/>
      <c r="F222" s="11"/>
      <c r="G222" s="11"/>
      <c r="H222" s="11"/>
      <c r="I222" s="11"/>
      <c r="J222" s="11"/>
    </row>
    <row r="223" ht="17" customHeight="1">
      <c r="A223" s="11"/>
      <c r="B223" s="11"/>
      <c r="C223" s="11"/>
      <c r="D223" s="11"/>
      <c r="E223" s="11"/>
      <c r="F223" s="11"/>
      <c r="G223" s="11"/>
      <c r="H223" s="11"/>
      <c r="I223" s="11"/>
      <c r="J223" s="11"/>
    </row>
    <row r="224" ht="17" customHeight="1">
      <c r="A224" s="11"/>
      <c r="B224" s="11"/>
      <c r="C224" s="11"/>
      <c r="D224" s="11"/>
      <c r="E224" s="11"/>
      <c r="F224" s="11"/>
      <c r="G224" s="11"/>
      <c r="H224" s="11"/>
      <c r="I224" s="11"/>
      <c r="J224" s="11"/>
    </row>
    <row r="225" ht="17" customHeight="1">
      <c r="A225" s="11"/>
      <c r="B225" s="11"/>
      <c r="C225" s="11"/>
      <c r="D225" s="11"/>
      <c r="E225" s="11"/>
      <c r="F225" s="11"/>
      <c r="G225" s="11"/>
      <c r="H225" s="11"/>
      <c r="I225" s="11"/>
      <c r="J225" s="11"/>
    </row>
    <row r="226" ht="17" customHeight="1">
      <c r="A226" s="11"/>
      <c r="B226" s="11"/>
      <c r="C226" s="11"/>
      <c r="D226" s="11"/>
      <c r="E226" s="11"/>
      <c r="F226" s="11"/>
      <c r="G226" s="11"/>
      <c r="H226" s="11"/>
      <c r="I226" s="11"/>
      <c r="J226" s="11"/>
    </row>
    <row r="227" ht="17" customHeight="1">
      <c r="A227" s="11"/>
      <c r="B227" s="11"/>
      <c r="C227" s="11"/>
      <c r="D227" s="11"/>
      <c r="E227" s="11"/>
      <c r="F227" s="11"/>
      <c r="G227" s="11"/>
      <c r="H227" s="11"/>
      <c r="I227" s="11"/>
      <c r="J227" s="11"/>
    </row>
    <row r="228" ht="17" customHeight="1">
      <c r="A228" s="11"/>
      <c r="B228" s="11"/>
      <c r="C228" s="11"/>
      <c r="D228" s="11"/>
      <c r="E228" s="11"/>
      <c r="F228" s="11"/>
      <c r="G228" s="11"/>
      <c r="H228" s="11"/>
      <c r="I228" s="11"/>
      <c r="J228" s="11"/>
    </row>
    <row r="229" ht="17" customHeight="1">
      <c r="A229" s="11"/>
      <c r="B229" s="11"/>
      <c r="C229" s="11"/>
      <c r="D229" s="11"/>
      <c r="E229" s="11"/>
      <c r="F229" s="11"/>
      <c r="G229" s="11"/>
      <c r="H229" s="11"/>
      <c r="I229" s="11"/>
      <c r="J229" s="11"/>
    </row>
    <row r="230" ht="17" customHeight="1">
      <c r="A230" s="11"/>
      <c r="B230" s="11"/>
      <c r="C230" s="11"/>
      <c r="D230" s="11"/>
      <c r="E230" s="11"/>
      <c r="F230" s="11"/>
      <c r="G230" s="11"/>
      <c r="H230" s="11"/>
      <c r="I230" s="11"/>
      <c r="J230" s="11"/>
    </row>
    <row r="231" ht="17" customHeight="1">
      <c r="A231" s="11"/>
      <c r="B231" s="11"/>
      <c r="C231" s="11"/>
      <c r="D231" s="11"/>
      <c r="E231" s="11"/>
      <c r="F231" s="11"/>
      <c r="G231" s="11"/>
      <c r="H231" s="11"/>
      <c r="I231" s="11"/>
      <c r="J231" s="11"/>
    </row>
    <row r="232" ht="17" customHeight="1">
      <c r="A232" s="11"/>
      <c r="B232" s="11"/>
      <c r="C232" s="11"/>
      <c r="D232" s="11"/>
      <c r="E232" s="11"/>
      <c r="F232" s="11"/>
      <c r="G232" s="11"/>
      <c r="H232" s="11"/>
      <c r="I232" s="11"/>
      <c r="J232" s="11"/>
    </row>
    <row r="233" ht="17" customHeight="1">
      <c r="A233" s="11"/>
      <c r="B233" s="11"/>
      <c r="C233" s="11"/>
      <c r="D233" s="11"/>
      <c r="E233" s="11"/>
      <c r="F233" s="11"/>
      <c r="G233" s="11"/>
      <c r="H233" s="11"/>
      <c r="I233" s="11"/>
      <c r="J233" s="11"/>
    </row>
    <row r="234" ht="17" customHeight="1">
      <c r="A234" s="11"/>
      <c r="B234" s="11"/>
      <c r="C234" s="11"/>
      <c r="D234" s="11"/>
      <c r="E234" s="11"/>
      <c r="F234" s="11"/>
      <c r="G234" s="11"/>
      <c r="H234" s="11"/>
      <c r="I234" s="11"/>
      <c r="J234" s="11"/>
    </row>
    <row r="235" ht="17" customHeight="1">
      <c r="A235" s="11"/>
      <c r="B235" s="11"/>
      <c r="C235" s="11"/>
      <c r="D235" s="11"/>
      <c r="E235" s="11"/>
      <c r="F235" s="11"/>
      <c r="G235" s="11"/>
      <c r="H235" s="11"/>
      <c r="I235" s="11"/>
      <c r="J235" s="11"/>
    </row>
    <row r="236" ht="17" customHeight="1">
      <c r="A236" s="11"/>
      <c r="B236" s="11"/>
      <c r="C236" s="11"/>
      <c r="D236" s="11"/>
      <c r="E236" s="11"/>
      <c r="F236" s="11"/>
      <c r="G236" s="11"/>
      <c r="H236" s="11"/>
      <c r="I236" s="11"/>
      <c r="J236" s="11"/>
    </row>
    <row r="237" ht="17" customHeight="1">
      <c r="A237" s="11"/>
      <c r="B237" s="11"/>
      <c r="C237" s="11"/>
      <c r="D237" s="11"/>
      <c r="E237" s="11"/>
      <c r="F237" s="11"/>
      <c r="G237" s="11"/>
      <c r="H237" s="11"/>
      <c r="I237" s="11"/>
      <c r="J237" s="11"/>
    </row>
    <row r="238" ht="17" customHeight="1">
      <c r="A238" s="11"/>
      <c r="B238" s="11"/>
      <c r="C238" s="11"/>
      <c r="D238" s="11"/>
      <c r="E238" s="11"/>
      <c r="F238" s="11"/>
      <c r="G238" s="11"/>
      <c r="H238" s="11"/>
      <c r="I238" s="11"/>
      <c r="J238" s="11"/>
    </row>
    <row r="239" ht="17" customHeight="1">
      <c r="A239" s="11"/>
      <c r="B239" s="11"/>
      <c r="C239" s="11"/>
      <c r="D239" s="11"/>
      <c r="E239" s="11"/>
      <c r="F239" s="11"/>
      <c r="G239" s="11"/>
      <c r="H239" s="11"/>
      <c r="I239" s="11"/>
      <c r="J239" s="11"/>
    </row>
    <row r="240" ht="17" customHeight="1">
      <c r="A240" s="11"/>
      <c r="B240" s="11"/>
      <c r="C240" s="11"/>
      <c r="D240" s="11"/>
      <c r="E240" s="11"/>
      <c r="F240" s="11"/>
      <c r="G240" s="11"/>
      <c r="H240" s="11"/>
      <c r="I240" s="11"/>
      <c r="J240" s="11"/>
    </row>
    <row r="241" ht="17" customHeight="1">
      <c r="A241" s="11"/>
      <c r="B241" s="11"/>
      <c r="C241" s="11"/>
      <c r="D241" s="11"/>
      <c r="E241" s="11"/>
      <c r="F241" s="11"/>
      <c r="G241" s="11"/>
      <c r="H241" s="11"/>
      <c r="I241" s="11"/>
      <c r="J241" s="11"/>
    </row>
    <row r="242" ht="17" customHeight="1">
      <c r="A242" s="11"/>
      <c r="B242" s="11"/>
      <c r="C242" s="11"/>
      <c r="D242" s="11"/>
      <c r="E242" s="11"/>
      <c r="F242" s="11"/>
      <c r="G242" s="11"/>
      <c r="H242" s="11"/>
      <c r="I242" s="11"/>
      <c r="J242" s="11"/>
    </row>
    <row r="243" ht="17" customHeight="1">
      <c r="A243" s="11"/>
      <c r="B243" s="11"/>
      <c r="C243" s="11"/>
      <c r="D243" s="11"/>
      <c r="E243" s="11"/>
      <c r="F243" s="11"/>
      <c r="G243" s="11"/>
      <c r="H243" s="11"/>
      <c r="I243" s="11"/>
      <c r="J243" s="11"/>
    </row>
    <row r="244" ht="17" customHeight="1">
      <c r="A244" s="11"/>
      <c r="B244" s="11"/>
      <c r="C244" s="11"/>
      <c r="D244" s="11"/>
      <c r="E244" s="11"/>
      <c r="F244" s="11"/>
      <c r="G244" s="11"/>
      <c r="H244" s="11"/>
      <c r="I244" s="11"/>
      <c r="J244" s="11"/>
    </row>
    <row r="245" ht="17" customHeight="1">
      <c r="A245" s="11"/>
      <c r="B245" s="11"/>
      <c r="C245" s="11"/>
      <c r="D245" s="11"/>
      <c r="E245" s="11"/>
      <c r="F245" s="11"/>
      <c r="G245" s="11"/>
      <c r="H245" s="11"/>
      <c r="I245" s="11"/>
      <c r="J245" s="11"/>
    </row>
    <row r="246" ht="17" customHeight="1">
      <c r="A246" s="11"/>
      <c r="B246" s="11"/>
      <c r="C246" s="11"/>
      <c r="D246" s="11"/>
      <c r="E246" s="11"/>
      <c r="F246" s="11"/>
      <c r="G246" s="11"/>
      <c r="H246" s="11"/>
      <c r="I246" s="11"/>
      <c r="J246" s="11"/>
    </row>
    <row r="247" ht="17" customHeight="1">
      <c r="A247" s="11"/>
      <c r="B247" s="11"/>
      <c r="C247" s="11"/>
      <c r="D247" s="11"/>
      <c r="E247" s="11"/>
      <c r="F247" s="11"/>
      <c r="G247" s="11"/>
      <c r="H247" s="11"/>
      <c r="I247" s="11"/>
      <c r="J247" s="11"/>
    </row>
    <row r="248" ht="17" customHeight="1">
      <c r="A248" s="11"/>
      <c r="B248" s="11"/>
      <c r="C248" s="11"/>
      <c r="D248" s="11"/>
      <c r="E248" s="11"/>
      <c r="F248" s="11"/>
      <c r="G248" s="11"/>
      <c r="H248" s="11"/>
      <c r="I248" s="11"/>
      <c r="J248" s="11"/>
    </row>
    <row r="249" ht="17" customHeight="1">
      <c r="A249" s="11"/>
      <c r="B249" s="11"/>
      <c r="C249" s="11"/>
      <c r="D249" s="11"/>
      <c r="E249" s="11"/>
      <c r="F249" s="11"/>
      <c r="G249" s="11"/>
      <c r="H249" s="11"/>
      <c r="I249" s="11"/>
      <c r="J249" s="11"/>
    </row>
    <row r="250" ht="17" customHeight="1">
      <c r="A250" s="11"/>
      <c r="B250" s="11"/>
      <c r="C250" s="11"/>
      <c r="D250" s="11"/>
      <c r="E250" s="11"/>
      <c r="F250" s="11"/>
      <c r="G250" s="11"/>
      <c r="H250" s="11"/>
      <c r="I250" s="11"/>
      <c r="J250" s="11"/>
    </row>
    <row r="251" ht="17" customHeight="1">
      <c r="A251" s="11"/>
      <c r="B251" s="11"/>
      <c r="C251" s="11"/>
      <c r="D251" s="11"/>
      <c r="E251" s="11"/>
      <c r="F251" s="11"/>
      <c r="G251" s="11"/>
      <c r="H251" s="11"/>
      <c r="I251" s="11"/>
      <c r="J251" s="11"/>
    </row>
    <row r="252" ht="17" customHeight="1">
      <c r="A252" s="11"/>
      <c r="B252" s="11"/>
      <c r="C252" s="11"/>
      <c r="D252" s="11"/>
      <c r="E252" s="11"/>
      <c r="F252" s="11"/>
      <c r="G252" s="11"/>
      <c r="H252" s="11"/>
      <c r="I252" s="11"/>
      <c r="J252" s="11"/>
    </row>
    <row r="253" ht="17" customHeight="1">
      <c r="A253" s="11"/>
      <c r="B253" s="11"/>
      <c r="C253" s="11"/>
      <c r="D253" s="11"/>
      <c r="E253" s="11"/>
      <c r="F253" s="11"/>
      <c r="G253" s="11"/>
      <c r="H253" s="11"/>
      <c r="I253" s="11"/>
      <c r="J253" s="11"/>
    </row>
    <row r="254" ht="17" customHeight="1">
      <c r="A254" s="11"/>
      <c r="B254" s="11"/>
      <c r="C254" s="11"/>
      <c r="D254" s="11"/>
      <c r="E254" s="11"/>
      <c r="F254" s="11"/>
      <c r="G254" s="11"/>
      <c r="H254" s="11"/>
      <c r="I254" s="11"/>
      <c r="J254" s="11"/>
    </row>
    <row r="255" ht="17" customHeight="1">
      <c r="A255" s="11"/>
      <c r="B255" s="11"/>
      <c r="C255" s="11"/>
      <c r="D255" s="11"/>
      <c r="E255" s="11"/>
      <c r="F255" s="11"/>
      <c r="G255" s="11"/>
      <c r="H255" s="11"/>
      <c r="I255" s="11"/>
      <c r="J255" s="11"/>
    </row>
    <row r="256" ht="17" customHeight="1">
      <c r="A256" s="11"/>
      <c r="B256" s="11"/>
      <c r="C256" s="11"/>
      <c r="D256" s="11"/>
      <c r="E256" s="11"/>
      <c r="F256" s="11"/>
      <c r="G256" s="11"/>
      <c r="H256" s="11"/>
      <c r="I256" s="11"/>
      <c r="J256" s="11"/>
    </row>
    <row r="257" ht="17" customHeight="1">
      <c r="A257" s="11"/>
      <c r="B257" s="11"/>
      <c r="C257" s="11"/>
      <c r="D257" s="11"/>
      <c r="E257" s="11"/>
      <c r="F257" s="11"/>
      <c r="G257" s="11"/>
      <c r="H257" s="11"/>
      <c r="I257" s="11"/>
      <c r="J257" s="11"/>
    </row>
    <row r="258" ht="17" customHeight="1">
      <c r="A258" s="11"/>
      <c r="B258" s="11"/>
      <c r="C258" s="11"/>
      <c r="D258" s="11"/>
      <c r="E258" s="11"/>
      <c r="F258" s="11"/>
      <c r="G258" s="11"/>
      <c r="H258" s="11"/>
      <c r="I258" s="11"/>
      <c r="J258" s="11"/>
    </row>
    <row r="259" ht="17" customHeight="1">
      <c r="A259" s="11"/>
      <c r="B259" s="11"/>
      <c r="C259" s="11"/>
      <c r="D259" s="11"/>
      <c r="E259" s="11"/>
      <c r="F259" s="11"/>
      <c r="G259" s="11"/>
      <c r="H259" s="11"/>
      <c r="I259" s="11"/>
      <c r="J259" s="11"/>
    </row>
    <row r="260" ht="17" customHeight="1">
      <c r="A260" s="11"/>
      <c r="B260" s="11"/>
      <c r="C260" s="11"/>
      <c r="D260" s="11"/>
      <c r="E260" s="11"/>
      <c r="F260" s="11"/>
      <c r="G260" s="11"/>
      <c r="H260" s="11"/>
      <c r="I260" s="11"/>
      <c r="J260" s="11"/>
    </row>
    <row r="261" ht="17" customHeight="1">
      <c r="A261" s="11"/>
      <c r="B261" s="11"/>
      <c r="C261" s="11"/>
      <c r="D261" s="11"/>
      <c r="E261" s="11"/>
      <c r="F261" s="11"/>
      <c r="G261" s="11"/>
      <c r="H261" s="11"/>
      <c r="I261" s="11"/>
      <c r="J261" s="11"/>
    </row>
    <row r="262" ht="17" customHeight="1">
      <c r="A262" s="11"/>
      <c r="B262" s="11"/>
      <c r="C262" s="11"/>
      <c r="D262" s="11"/>
      <c r="E262" s="11"/>
      <c r="F262" s="11"/>
      <c r="G262" s="11"/>
      <c r="H262" s="11"/>
      <c r="I262" s="11"/>
      <c r="J262" s="11"/>
    </row>
    <row r="263" ht="17" customHeight="1">
      <c r="A263" s="11"/>
      <c r="B263" s="11"/>
      <c r="C263" s="11"/>
      <c r="D263" s="11"/>
      <c r="E263" s="11"/>
      <c r="F263" s="11"/>
      <c r="G263" s="11"/>
      <c r="H263" s="11"/>
      <c r="I263" s="11"/>
      <c r="J263" s="11"/>
    </row>
    <row r="264" ht="17" customHeight="1">
      <c r="A264" s="11"/>
      <c r="B264" s="11"/>
      <c r="C264" s="11"/>
      <c r="D264" s="11"/>
      <c r="E264" s="11"/>
      <c r="F264" s="11"/>
      <c r="G264" s="11"/>
      <c r="H264" s="11"/>
      <c r="I264" s="11"/>
      <c r="J264" s="11"/>
    </row>
    <row r="265" ht="17" customHeight="1">
      <c r="A265" s="11"/>
      <c r="B265" s="11"/>
      <c r="C265" s="11"/>
      <c r="D265" s="11"/>
      <c r="E265" s="11"/>
      <c r="F265" s="11"/>
      <c r="G265" s="11"/>
      <c r="H265" s="11"/>
      <c r="I265" s="11"/>
      <c r="J265" s="11"/>
    </row>
    <row r="266" ht="17" customHeight="1">
      <c r="A266" s="11"/>
      <c r="B266" s="11"/>
      <c r="C266" s="11"/>
      <c r="D266" s="11"/>
      <c r="E266" s="11"/>
      <c r="F266" s="11"/>
      <c r="G266" s="11"/>
      <c r="H266" s="11"/>
      <c r="I266" s="11"/>
      <c r="J266" s="11"/>
    </row>
    <row r="267" ht="17" customHeight="1">
      <c r="A267" s="11"/>
      <c r="B267" s="11"/>
      <c r="C267" s="11"/>
      <c r="D267" s="11"/>
      <c r="E267" s="11"/>
      <c r="F267" s="11"/>
      <c r="G267" s="11"/>
      <c r="H267" s="11"/>
      <c r="I267" s="11"/>
      <c r="J267" s="11"/>
    </row>
    <row r="268" ht="17" customHeight="1">
      <c r="A268" s="11"/>
      <c r="B268" s="11"/>
      <c r="C268" s="11"/>
      <c r="D268" s="11"/>
      <c r="E268" s="11"/>
      <c r="F268" s="11"/>
      <c r="G268" s="11"/>
      <c r="H268" s="11"/>
      <c r="I268" s="11"/>
      <c r="J268" s="11"/>
    </row>
    <row r="269" ht="17" customHeight="1">
      <c r="A269" s="11"/>
      <c r="B269" s="11"/>
      <c r="C269" s="11"/>
      <c r="D269" s="11"/>
      <c r="E269" s="11"/>
      <c r="F269" s="11"/>
      <c r="G269" s="11"/>
      <c r="H269" s="11"/>
      <c r="I269" s="11"/>
      <c r="J269" s="11"/>
    </row>
    <row r="270" ht="17" customHeight="1">
      <c r="A270" s="11"/>
      <c r="B270" s="11"/>
      <c r="C270" s="11"/>
      <c r="D270" s="11"/>
      <c r="E270" s="11"/>
      <c r="F270" s="11"/>
      <c r="G270" s="11"/>
      <c r="H270" s="11"/>
      <c r="I270" s="11"/>
      <c r="J270" s="11"/>
    </row>
    <row r="271" ht="17" customHeight="1">
      <c r="A271" s="11"/>
      <c r="B271" s="11"/>
      <c r="C271" s="11"/>
      <c r="D271" s="11"/>
      <c r="E271" s="11"/>
      <c r="F271" s="11"/>
      <c r="G271" s="11"/>
      <c r="H271" s="11"/>
      <c r="I271" s="11"/>
      <c r="J271" s="11"/>
    </row>
    <row r="272" ht="17" customHeight="1">
      <c r="A272" s="11"/>
      <c r="B272" s="11"/>
      <c r="C272" s="11"/>
      <c r="D272" s="11"/>
      <c r="E272" s="11"/>
      <c r="F272" s="11"/>
      <c r="G272" s="11"/>
      <c r="H272" s="11"/>
      <c r="I272" s="11"/>
      <c r="J272" s="11"/>
    </row>
    <row r="273" ht="17" customHeight="1">
      <c r="A273" s="11"/>
      <c r="B273" s="11"/>
      <c r="C273" s="11"/>
      <c r="D273" s="11"/>
      <c r="E273" s="11"/>
      <c r="F273" s="11"/>
      <c r="G273" s="11"/>
      <c r="H273" s="11"/>
      <c r="I273" s="11"/>
      <c r="J273" s="11"/>
    </row>
    <row r="274" ht="17" customHeight="1">
      <c r="A274" s="11"/>
      <c r="B274" s="11"/>
      <c r="C274" s="11"/>
      <c r="D274" s="11"/>
      <c r="E274" s="11"/>
      <c r="F274" s="11"/>
      <c r="G274" s="11"/>
      <c r="H274" s="11"/>
      <c r="I274" s="11"/>
      <c r="J274" s="11"/>
    </row>
    <row r="275" ht="17" customHeight="1">
      <c r="A275" s="11"/>
      <c r="B275" s="11"/>
      <c r="C275" s="11"/>
      <c r="D275" s="11"/>
      <c r="E275" s="11"/>
      <c r="F275" s="11"/>
      <c r="G275" s="11"/>
      <c r="H275" s="11"/>
      <c r="I275" s="11"/>
      <c r="J275" s="11"/>
    </row>
    <row r="276" ht="17" customHeight="1">
      <c r="A276" s="11"/>
      <c r="B276" s="11"/>
      <c r="C276" s="11"/>
      <c r="D276" s="11"/>
      <c r="E276" s="11"/>
      <c r="F276" s="11"/>
      <c r="G276" s="11"/>
      <c r="H276" s="11"/>
      <c r="I276" s="11"/>
      <c r="J276" s="11"/>
    </row>
    <row r="277" ht="17" customHeight="1">
      <c r="A277" s="11"/>
      <c r="B277" s="11"/>
      <c r="C277" s="11"/>
      <c r="D277" s="11"/>
      <c r="E277" s="11"/>
      <c r="F277" s="11"/>
      <c r="G277" s="11"/>
      <c r="H277" s="11"/>
      <c r="I277" s="11"/>
      <c r="J277" s="11"/>
    </row>
    <row r="278" ht="17" customHeight="1">
      <c r="A278" s="11"/>
      <c r="B278" s="11"/>
      <c r="C278" s="11"/>
      <c r="D278" s="11"/>
      <c r="E278" s="11"/>
      <c r="F278" s="11"/>
      <c r="G278" s="11"/>
      <c r="H278" s="11"/>
      <c r="I278" s="11"/>
      <c r="J278" s="11"/>
    </row>
    <row r="279" ht="17" customHeight="1">
      <c r="A279" s="11"/>
      <c r="B279" s="11"/>
      <c r="C279" s="11"/>
      <c r="D279" s="11"/>
      <c r="E279" s="11"/>
      <c r="F279" s="11"/>
      <c r="G279" s="11"/>
      <c r="H279" s="11"/>
      <c r="I279" s="11"/>
      <c r="J279" s="11"/>
    </row>
    <row r="280" ht="17" customHeight="1">
      <c r="A280" s="11"/>
      <c r="B280" s="11"/>
      <c r="C280" s="11"/>
      <c r="D280" s="11"/>
      <c r="E280" s="11"/>
      <c r="F280" s="11"/>
      <c r="G280" s="11"/>
      <c r="H280" s="11"/>
      <c r="I280" s="11"/>
      <c r="J280" s="11"/>
    </row>
    <row r="281" ht="17" customHeight="1">
      <c r="A281" s="11"/>
      <c r="B281" s="11"/>
      <c r="C281" s="11"/>
      <c r="D281" s="11"/>
      <c r="E281" s="11"/>
      <c r="F281" s="11"/>
      <c r="G281" s="11"/>
      <c r="H281" s="11"/>
      <c r="I281" s="11"/>
      <c r="J281" s="11"/>
    </row>
    <row r="282" ht="17" customHeight="1">
      <c r="A282" s="11"/>
      <c r="B282" s="11"/>
      <c r="C282" s="11"/>
      <c r="D282" s="11"/>
      <c r="E282" s="11"/>
      <c r="F282" s="11"/>
      <c r="G282" s="11"/>
      <c r="H282" s="11"/>
      <c r="I282" s="11"/>
      <c r="J282" s="11"/>
    </row>
    <row r="283" ht="17" customHeight="1">
      <c r="A283" s="11"/>
      <c r="B283" s="11"/>
      <c r="C283" s="11"/>
      <c r="D283" s="11"/>
      <c r="E283" s="11"/>
      <c r="F283" s="11"/>
      <c r="G283" s="11"/>
      <c r="H283" s="11"/>
      <c r="I283" s="11"/>
      <c r="J283" s="11"/>
    </row>
    <row r="284" ht="17" customHeight="1">
      <c r="A284" s="11"/>
      <c r="B284" s="11"/>
      <c r="C284" s="11"/>
      <c r="D284" s="11"/>
      <c r="E284" s="11"/>
      <c r="F284" s="11"/>
      <c r="G284" s="11"/>
      <c r="H284" s="11"/>
      <c r="I284" s="11"/>
      <c r="J284" s="11"/>
    </row>
    <row r="285" ht="17" customHeight="1">
      <c r="A285" s="11"/>
      <c r="B285" s="11"/>
      <c r="C285" s="11"/>
      <c r="D285" s="11"/>
      <c r="E285" s="11"/>
      <c r="F285" s="11"/>
      <c r="G285" s="11"/>
      <c r="H285" s="11"/>
      <c r="I285" s="11"/>
      <c r="J285" s="11"/>
    </row>
    <row r="286" ht="17" customHeight="1">
      <c r="A286" s="11"/>
      <c r="B286" s="11"/>
      <c r="C286" s="11"/>
      <c r="D286" s="11"/>
      <c r="E286" s="11"/>
      <c r="F286" s="11"/>
      <c r="G286" s="11"/>
      <c r="H286" s="11"/>
      <c r="I286" s="11"/>
      <c r="J286" s="11"/>
    </row>
    <row r="287" ht="17" customHeight="1">
      <c r="A287" s="11"/>
      <c r="B287" s="11"/>
      <c r="C287" s="11"/>
      <c r="D287" s="11"/>
      <c r="E287" s="11"/>
      <c r="F287" s="11"/>
      <c r="G287" s="11"/>
      <c r="H287" s="11"/>
      <c r="I287" s="11"/>
      <c r="J287" s="11"/>
    </row>
    <row r="288" ht="17" customHeight="1">
      <c r="A288" s="11"/>
      <c r="B288" s="11"/>
      <c r="C288" s="11"/>
      <c r="D288" s="11"/>
      <c r="E288" s="11"/>
      <c r="F288" s="11"/>
      <c r="G288" s="11"/>
      <c r="H288" s="11"/>
      <c r="I288" s="11"/>
      <c r="J288" s="11"/>
    </row>
    <row r="289" ht="17" customHeight="1">
      <c r="A289" s="11"/>
      <c r="B289" s="11"/>
      <c r="C289" s="11"/>
      <c r="D289" s="11"/>
      <c r="E289" s="11"/>
      <c r="F289" s="11"/>
      <c r="G289" s="11"/>
      <c r="H289" s="11"/>
      <c r="I289" s="11"/>
      <c r="J289" s="11"/>
    </row>
    <row r="290" ht="17" customHeight="1">
      <c r="A290" s="11"/>
      <c r="B290" s="11"/>
      <c r="C290" s="11"/>
      <c r="D290" s="11"/>
      <c r="E290" s="11"/>
      <c r="F290" s="11"/>
      <c r="G290" s="11"/>
      <c r="H290" s="11"/>
      <c r="I290" s="11"/>
      <c r="J290" s="11"/>
    </row>
    <row r="291" ht="17" customHeight="1">
      <c r="A291" s="11"/>
      <c r="B291" s="11"/>
      <c r="C291" s="11"/>
      <c r="D291" s="11"/>
      <c r="E291" s="11"/>
      <c r="F291" s="11"/>
      <c r="G291" s="11"/>
      <c r="H291" s="11"/>
      <c r="I291" s="11"/>
      <c r="J291" s="11"/>
    </row>
    <row r="292" ht="17" customHeight="1">
      <c r="A292" s="11"/>
      <c r="B292" s="11"/>
      <c r="C292" s="11"/>
      <c r="D292" s="11"/>
      <c r="E292" s="11"/>
      <c r="F292" s="11"/>
      <c r="G292" s="11"/>
      <c r="H292" s="11"/>
      <c r="I292" s="11"/>
      <c r="J292" s="11"/>
    </row>
    <row r="293" ht="17" customHeight="1">
      <c r="A293" s="11"/>
      <c r="B293" s="11"/>
      <c r="C293" s="11"/>
      <c r="D293" s="11"/>
      <c r="E293" s="11"/>
      <c r="F293" s="11"/>
      <c r="G293" s="11"/>
      <c r="H293" s="11"/>
      <c r="I293" s="11"/>
      <c r="J293" s="11"/>
    </row>
    <row r="294" ht="17" customHeight="1">
      <c r="A294" s="11"/>
      <c r="B294" s="11"/>
      <c r="C294" s="11"/>
      <c r="D294" s="11"/>
      <c r="E294" s="11"/>
      <c r="F294" s="11"/>
      <c r="G294" s="11"/>
      <c r="H294" s="11"/>
      <c r="I294" s="11"/>
      <c r="J294" s="11"/>
    </row>
    <row r="295" ht="17" customHeight="1">
      <c r="A295" s="11"/>
      <c r="B295" s="11"/>
      <c r="C295" s="11"/>
      <c r="D295" s="11"/>
      <c r="E295" s="11"/>
      <c r="F295" s="11"/>
      <c r="G295" s="11"/>
      <c r="H295" s="11"/>
      <c r="I295" s="11"/>
      <c r="J295" s="11"/>
    </row>
    <row r="296" ht="17" customHeight="1">
      <c r="A296" s="11"/>
      <c r="B296" s="11"/>
      <c r="C296" s="11"/>
      <c r="D296" s="11"/>
      <c r="E296" s="11"/>
      <c r="F296" s="11"/>
      <c r="G296" s="11"/>
      <c r="H296" s="11"/>
      <c r="I296" s="11"/>
      <c r="J296" s="11"/>
    </row>
    <row r="297" ht="17" customHeight="1">
      <c r="A297" s="11"/>
      <c r="B297" s="11"/>
      <c r="C297" s="11"/>
      <c r="D297" s="11"/>
      <c r="E297" s="11"/>
      <c r="F297" s="11"/>
      <c r="G297" s="11"/>
      <c r="H297" s="11"/>
      <c r="I297" s="11"/>
      <c r="J297" s="11"/>
    </row>
    <row r="298" ht="17" customHeight="1">
      <c r="A298" s="11"/>
      <c r="B298" s="11"/>
      <c r="C298" s="11"/>
      <c r="D298" s="11"/>
      <c r="E298" s="11"/>
      <c r="F298" s="11"/>
      <c r="G298" s="11"/>
      <c r="H298" s="11"/>
      <c r="I298" s="11"/>
      <c r="J298" s="11"/>
    </row>
    <row r="299" ht="17" customHeight="1">
      <c r="A299" s="11"/>
      <c r="B299" s="11"/>
      <c r="C299" s="11"/>
      <c r="D299" s="11"/>
      <c r="E299" s="11"/>
      <c r="F299" s="11"/>
      <c r="G299" s="11"/>
      <c r="H299" s="11"/>
      <c r="I299" s="11"/>
      <c r="J299" s="11"/>
    </row>
    <row r="300" ht="17" customHeight="1">
      <c r="A300" s="11"/>
      <c r="B300" s="11"/>
      <c r="C300" s="11"/>
      <c r="D300" s="11"/>
      <c r="E300" s="11"/>
      <c r="F300" s="11"/>
      <c r="G300" s="11"/>
      <c r="H300" s="11"/>
      <c r="I300" s="11"/>
      <c r="J300" s="11"/>
    </row>
    <row r="301" ht="17" customHeight="1">
      <c r="A301" s="11"/>
      <c r="B301" s="11"/>
      <c r="C301" s="11"/>
      <c r="D301" s="11"/>
      <c r="E301" s="11"/>
      <c r="F301" s="11"/>
      <c r="G301" s="11"/>
      <c r="H301" s="11"/>
      <c r="I301" s="11"/>
      <c r="J301" s="11"/>
    </row>
    <row r="302" ht="17" customHeight="1">
      <c r="A302" s="11"/>
      <c r="B302" s="11"/>
      <c r="C302" s="11"/>
      <c r="D302" s="11"/>
      <c r="E302" s="11"/>
      <c r="F302" s="11"/>
      <c r="G302" s="11"/>
      <c r="H302" s="11"/>
      <c r="I302" s="11"/>
      <c r="J302" s="11"/>
    </row>
    <row r="303" ht="17" customHeight="1">
      <c r="A303" s="11"/>
      <c r="B303" s="11"/>
      <c r="C303" s="11"/>
      <c r="D303" s="11"/>
      <c r="E303" s="11"/>
      <c r="F303" s="11"/>
      <c r="G303" s="11"/>
      <c r="H303" s="11"/>
      <c r="I303" s="11"/>
      <c r="J303" s="11"/>
    </row>
    <row r="304" ht="17" customHeight="1">
      <c r="A304" s="11"/>
      <c r="B304" s="11"/>
      <c r="C304" s="11"/>
      <c r="D304" s="11"/>
      <c r="E304" s="11"/>
      <c r="F304" s="11"/>
      <c r="G304" s="11"/>
      <c r="H304" s="11"/>
      <c r="I304" s="11"/>
      <c r="J304" s="11"/>
    </row>
    <row r="305" ht="17" customHeight="1">
      <c r="A305" s="11"/>
      <c r="B305" s="11"/>
      <c r="C305" s="11"/>
      <c r="D305" s="11"/>
      <c r="E305" s="11"/>
      <c r="F305" s="11"/>
      <c r="G305" s="11"/>
      <c r="H305" s="11"/>
      <c r="I305" s="11"/>
      <c r="J305" s="11"/>
    </row>
    <row r="306" ht="17" customHeight="1">
      <c r="A306" s="11"/>
      <c r="B306" s="11"/>
      <c r="C306" s="11"/>
      <c r="D306" s="11"/>
      <c r="E306" s="11"/>
      <c r="F306" s="11"/>
      <c r="G306" s="11"/>
      <c r="H306" s="11"/>
      <c r="I306" s="11"/>
      <c r="J306" s="11"/>
    </row>
    <row r="307" ht="17" customHeight="1">
      <c r="A307" s="11"/>
      <c r="B307" s="11"/>
      <c r="C307" s="11"/>
      <c r="D307" s="11"/>
      <c r="E307" s="11"/>
      <c r="F307" s="11"/>
      <c r="G307" s="11"/>
      <c r="H307" s="11"/>
      <c r="I307" s="11"/>
      <c r="J307" s="11"/>
    </row>
    <row r="308" ht="17" customHeight="1">
      <c r="A308" s="11"/>
      <c r="B308" s="11"/>
      <c r="C308" s="11"/>
      <c r="D308" s="11"/>
      <c r="E308" s="11"/>
      <c r="F308" s="11"/>
      <c r="G308" s="11"/>
      <c r="H308" s="11"/>
      <c r="I308" s="11"/>
      <c r="J308" s="11"/>
    </row>
    <row r="309" ht="17" customHeight="1">
      <c r="A309" s="11"/>
      <c r="B309" s="11"/>
      <c r="C309" s="11"/>
      <c r="D309" s="11"/>
      <c r="E309" s="11"/>
      <c r="F309" s="11"/>
      <c r="G309" s="11"/>
      <c r="H309" s="11"/>
      <c r="I309" s="11"/>
      <c r="J309" s="11"/>
    </row>
    <row r="310" ht="17" customHeight="1">
      <c r="A310" s="11"/>
      <c r="B310" s="11"/>
      <c r="C310" s="11"/>
      <c r="D310" s="11"/>
      <c r="E310" s="11"/>
      <c r="F310" s="11"/>
      <c r="G310" s="11"/>
      <c r="H310" s="11"/>
      <c r="I310" s="11"/>
      <c r="J310" s="11"/>
    </row>
    <row r="311" ht="17" customHeight="1">
      <c r="A311" s="11"/>
      <c r="B311" s="11"/>
      <c r="C311" s="11"/>
      <c r="D311" s="11"/>
      <c r="E311" s="11"/>
      <c r="F311" s="11"/>
      <c r="G311" s="11"/>
      <c r="H311" s="11"/>
      <c r="I311" s="11"/>
      <c r="J311" s="11"/>
    </row>
    <row r="312" ht="17" customHeight="1">
      <c r="A312" s="11"/>
      <c r="B312" s="11"/>
      <c r="C312" s="11"/>
      <c r="D312" s="11"/>
      <c r="E312" s="11"/>
      <c r="F312" s="11"/>
      <c r="G312" s="11"/>
      <c r="H312" s="11"/>
      <c r="I312" s="11"/>
      <c r="J312" s="11"/>
    </row>
    <row r="313" ht="17" customHeight="1">
      <c r="A313" s="11"/>
      <c r="B313" s="11"/>
      <c r="C313" s="11"/>
      <c r="D313" s="11"/>
      <c r="E313" s="11"/>
      <c r="F313" s="11"/>
      <c r="G313" s="11"/>
      <c r="H313" s="11"/>
      <c r="I313" s="11"/>
      <c r="J313" s="11"/>
    </row>
    <row r="314" ht="17" customHeight="1">
      <c r="A314" s="11"/>
      <c r="B314" s="11"/>
      <c r="C314" s="11"/>
      <c r="D314" s="11"/>
      <c r="E314" s="11"/>
      <c r="F314" s="11"/>
      <c r="G314" s="11"/>
      <c r="H314" s="11"/>
      <c r="I314" s="11"/>
      <c r="J314" s="11"/>
    </row>
    <row r="315" ht="17" customHeight="1">
      <c r="A315" s="11"/>
      <c r="B315" s="11"/>
      <c r="C315" s="11"/>
      <c r="D315" s="11"/>
      <c r="E315" s="11"/>
      <c r="F315" s="11"/>
      <c r="G315" s="11"/>
      <c r="H315" s="11"/>
      <c r="I315" s="11"/>
      <c r="J315" s="11"/>
    </row>
    <row r="316" ht="17" customHeight="1">
      <c r="A316" s="11"/>
      <c r="B316" s="11"/>
      <c r="C316" s="11"/>
      <c r="D316" s="11"/>
      <c r="E316" s="11"/>
      <c r="F316" s="11"/>
      <c r="G316" s="11"/>
      <c r="H316" s="11"/>
      <c r="I316" s="11"/>
      <c r="J316" s="11"/>
    </row>
    <row r="317" ht="17" customHeight="1">
      <c r="A317" s="11"/>
      <c r="B317" s="11"/>
      <c r="C317" s="11"/>
      <c r="D317" s="11"/>
      <c r="E317" s="11"/>
      <c r="F317" s="11"/>
      <c r="G317" s="11"/>
      <c r="H317" s="11"/>
      <c r="I317" s="11"/>
      <c r="J317" s="11"/>
    </row>
    <row r="318" ht="17" customHeight="1">
      <c r="A318" s="11"/>
      <c r="B318" s="11"/>
      <c r="C318" s="11"/>
      <c r="D318" s="11"/>
      <c r="E318" s="11"/>
      <c r="F318" s="11"/>
      <c r="G318" s="11"/>
      <c r="H318" s="11"/>
      <c r="I318" s="11"/>
      <c r="J318" s="11"/>
    </row>
    <row r="319" ht="17" customHeight="1">
      <c r="A319" s="11"/>
      <c r="B319" s="11"/>
      <c r="C319" s="11"/>
      <c r="D319" s="11"/>
      <c r="E319" s="11"/>
      <c r="F319" s="11"/>
      <c r="G319" s="11"/>
      <c r="H319" s="11"/>
      <c r="I319" s="11"/>
      <c r="J319" s="11"/>
    </row>
    <row r="320" ht="17" customHeight="1">
      <c r="A320" s="11"/>
      <c r="B320" s="11"/>
      <c r="C320" s="11"/>
      <c r="D320" s="11"/>
      <c r="E320" s="11"/>
      <c r="F320" s="11"/>
      <c r="G320" s="11"/>
      <c r="H320" s="11"/>
      <c r="I320" s="11"/>
      <c r="J320" s="11"/>
    </row>
    <row r="321" ht="17" customHeight="1">
      <c r="A321" s="11"/>
      <c r="B321" s="11"/>
      <c r="C321" s="11"/>
      <c r="D321" s="11"/>
      <c r="E321" s="11"/>
      <c r="F321" s="11"/>
      <c r="G321" s="11"/>
      <c r="H321" s="11"/>
      <c r="I321" s="11"/>
      <c r="J321" s="11"/>
    </row>
    <row r="322" ht="17" customHeight="1">
      <c r="A322" s="11"/>
      <c r="B322" s="11"/>
      <c r="C322" s="11"/>
      <c r="D322" s="11"/>
      <c r="E322" s="11"/>
      <c r="F322" s="11"/>
      <c r="G322" s="11"/>
      <c r="H322" s="11"/>
      <c r="I322" s="11"/>
      <c r="J322" s="11"/>
    </row>
    <row r="323" ht="17" customHeight="1">
      <c r="A323" s="11"/>
      <c r="B323" s="11"/>
      <c r="C323" s="11"/>
      <c r="D323" s="11"/>
      <c r="E323" s="11"/>
      <c r="F323" s="11"/>
      <c r="G323" s="11"/>
      <c r="H323" s="11"/>
      <c r="I323" s="11"/>
      <c r="J323" s="11"/>
    </row>
    <row r="324" ht="17" customHeight="1">
      <c r="A324" s="11"/>
      <c r="B324" s="11"/>
      <c r="C324" s="11"/>
      <c r="D324" s="11"/>
      <c r="E324" s="11"/>
      <c r="F324" s="11"/>
      <c r="G324" s="11"/>
      <c r="H324" s="11"/>
      <c r="I324" s="11"/>
      <c r="J324" s="11"/>
    </row>
    <row r="325" ht="17" customHeight="1">
      <c r="A325" s="11"/>
      <c r="B325" s="11"/>
      <c r="C325" s="11"/>
      <c r="D325" s="11"/>
      <c r="E325" s="11"/>
      <c r="F325" s="11"/>
      <c r="G325" s="11"/>
      <c r="H325" s="11"/>
      <c r="I325" s="11"/>
      <c r="J325" s="11"/>
    </row>
    <row r="326" ht="17" customHeight="1">
      <c r="A326" s="11"/>
      <c r="B326" s="11"/>
      <c r="C326" s="11"/>
      <c r="D326" s="11"/>
      <c r="E326" s="11"/>
      <c r="F326" s="11"/>
      <c r="G326" s="11"/>
      <c r="H326" s="11"/>
      <c r="I326" s="11"/>
      <c r="J326" s="11"/>
    </row>
    <row r="327" ht="17" customHeight="1">
      <c r="A327" s="11"/>
      <c r="B327" s="11"/>
      <c r="C327" s="11"/>
      <c r="D327" s="11"/>
      <c r="E327" s="11"/>
      <c r="F327" s="11"/>
      <c r="G327" s="11"/>
      <c r="H327" s="11"/>
      <c r="I327" s="11"/>
      <c r="J327" s="11"/>
    </row>
    <row r="328" ht="17" customHeight="1">
      <c r="A328" s="11"/>
      <c r="B328" s="11"/>
      <c r="C328" s="11"/>
      <c r="D328" s="11"/>
      <c r="E328" s="11"/>
      <c r="F328" s="11"/>
      <c r="G328" s="11"/>
      <c r="H328" s="11"/>
      <c r="I328" s="11"/>
      <c r="J328" s="11"/>
    </row>
    <row r="329" ht="17" customHeight="1">
      <c r="A329" s="11"/>
      <c r="B329" s="11"/>
      <c r="C329" s="11"/>
      <c r="D329" s="11"/>
      <c r="E329" s="11"/>
      <c r="F329" s="11"/>
      <c r="G329" s="11"/>
      <c r="H329" s="11"/>
      <c r="I329" s="11"/>
      <c r="J329" s="11"/>
    </row>
    <row r="330" ht="17" customHeight="1">
      <c r="A330" s="11"/>
      <c r="B330" s="11"/>
      <c r="C330" s="11"/>
      <c r="D330" s="11"/>
      <c r="E330" s="11"/>
      <c r="F330" s="11"/>
      <c r="G330" s="11"/>
      <c r="H330" s="11"/>
      <c r="I330" s="11"/>
      <c r="J330" s="11"/>
    </row>
    <row r="331" ht="17" customHeight="1">
      <c r="A331" s="11"/>
      <c r="B331" s="11"/>
      <c r="C331" s="11"/>
      <c r="D331" s="11"/>
      <c r="E331" s="11"/>
      <c r="F331" s="11"/>
      <c r="G331" s="11"/>
      <c r="H331" s="11"/>
      <c r="I331" s="11"/>
      <c r="J331" s="11"/>
    </row>
    <row r="332" ht="17" customHeight="1">
      <c r="A332" s="11"/>
      <c r="B332" s="11"/>
      <c r="C332" s="11"/>
      <c r="D332" s="11"/>
      <c r="E332" s="11"/>
      <c r="F332" s="11"/>
      <c r="G332" s="11"/>
      <c r="H332" s="11"/>
      <c r="I332" s="11"/>
      <c r="J332" s="11"/>
    </row>
    <row r="333" ht="17" customHeight="1">
      <c r="A333" s="11"/>
      <c r="B333" s="11"/>
      <c r="C333" s="11"/>
      <c r="D333" s="11"/>
      <c r="E333" s="11"/>
      <c r="F333" s="11"/>
      <c r="G333" s="11"/>
      <c r="H333" s="11"/>
      <c r="I333" s="11"/>
      <c r="J333" s="11"/>
    </row>
    <row r="334" ht="17" customHeight="1">
      <c r="A334" s="11"/>
      <c r="B334" s="11"/>
      <c r="C334" s="11"/>
      <c r="D334" s="11"/>
      <c r="E334" s="11"/>
      <c r="F334" s="11"/>
      <c r="G334" s="11"/>
      <c r="H334" s="11"/>
      <c r="I334" s="11"/>
      <c r="J334" s="11"/>
    </row>
    <row r="335" ht="17" customHeight="1">
      <c r="A335" s="11"/>
      <c r="B335" s="11"/>
      <c r="C335" s="11"/>
      <c r="D335" s="11"/>
      <c r="E335" s="11"/>
      <c r="F335" s="11"/>
      <c r="G335" s="11"/>
      <c r="H335" s="11"/>
      <c r="I335" s="11"/>
      <c r="J335" s="11"/>
    </row>
    <row r="336" ht="17" customHeight="1">
      <c r="A336" s="11"/>
      <c r="B336" s="11"/>
      <c r="C336" s="11"/>
      <c r="D336" s="11"/>
      <c r="E336" s="11"/>
      <c r="F336" s="11"/>
      <c r="G336" s="11"/>
      <c r="H336" s="11"/>
      <c r="I336" s="11"/>
      <c r="J336" s="11"/>
    </row>
    <row r="337" ht="17" customHeight="1">
      <c r="A337" s="11"/>
      <c r="B337" s="11"/>
      <c r="C337" s="11"/>
      <c r="D337" s="11"/>
      <c r="E337" s="11"/>
      <c r="F337" s="11"/>
      <c r="G337" s="11"/>
      <c r="H337" s="11"/>
      <c r="I337" s="11"/>
      <c r="J337" s="11"/>
    </row>
    <row r="338" ht="17" customHeight="1">
      <c r="A338" s="11"/>
      <c r="B338" s="11"/>
      <c r="C338" s="11"/>
      <c r="D338" s="11"/>
      <c r="E338" s="11"/>
      <c r="F338" s="11"/>
      <c r="G338" s="11"/>
      <c r="H338" s="11"/>
      <c r="I338" s="11"/>
      <c r="J338" s="11"/>
    </row>
    <row r="339" ht="17" customHeight="1">
      <c r="A339" s="11"/>
      <c r="B339" s="11"/>
      <c r="C339" s="11"/>
      <c r="D339" s="11"/>
      <c r="E339" s="11"/>
      <c r="F339" s="11"/>
      <c r="G339" s="11"/>
      <c r="H339" s="11"/>
      <c r="I339" s="11"/>
      <c r="J339" s="11"/>
    </row>
    <row r="340" ht="17" customHeight="1">
      <c r="A340" s="11"/>
      <c r="B340" s="11"/>
      <c r="C340" s="11"/>
      <c r="D340" s="11"/>
      <c r="E340" s="11"/>
      <c r="F340" s="11"/>
      <c r="G340" s="11"/>
      <c r="H340" s="11"/>
      <c r="I340" s="11"/>
      <c r="J340" s="11"/>
    </row>
    <row r="341" ht="17" customHeight="1">
      <c r="A341" s="11"/>
      <c r="B341" s="11"/>
      <c r="C341" s="11"/>
      <c r="D341" s="11"/>
      <c r="E341" s="11"/>
      <c r="F341" s="11"/>
      <c r="G341" s="11"/>
      <c r="H341" s="11"/>
      <c r="I341" s="11"/>
      <c r="J341" s="11"/>
    </row>
    <row r="342" ht="17" customHeight="1">
      <c r="A342" s="11"/>
      <c r="B342" s="11"/>
      <c r="C342" s="11"/>
      <c r="D342" s="11"/>
      <c r="E342" s="11"/>
      <c r="F342" s="11"/>
      <c r="G342" s="11"/>
      <c r="H342" s="11"/>
      <c r="I342" s="11"/>
      <c r="J342" s="11"/>
    </row>
    <row r="343" ht="17" customHeight="1">
      <c r="A343" s="11"/>
      <c r="B343" s="11"/>
      <c r="C343" s="11"/>
      <c r="D343" s="11"/>
      <c r="E343" s="11"/>
      <c r="F343" s="11"/>
      <c r="G343" s="11"/>
      <c r="H343" s="11"/>
      <c r="I343" s="11"/>
      <c r="J343" s="11"/>
    </row>
    <row r="344" ht="17" customHeight="1">
      <c r="A344" s="11"/>
      <c r="B344" s="11"/>
      <c r="C344" s="11"/>
      <c r="D344" s="11"/>
      <c r="E344" s="11"/>
      <c r="F344" s="11"/>
      <c r="G344" s="11"/>
      <c r="H344" s="11"/>
      <c r="I344" s="11"/>
      <c r="J344" s="11"/>
    </row>
    <row r="345" ht="17" customHeight="1">
      <c r="A345" s="11"/>
      <c r="B345" s="11"/>
      <c r="C345" s="11"/>
      <c r="D345" s="11"/>
      <c r="E345" s="11"/>
      <c r="F345" s="11"/>
      <c r="G345" s="11"/>
      <c r="H345" s="11"/>
      <c r="I345" s="11"/>
      <c r="J345" s="11"/>
    </row>
    <row r="346" ht="17" customHeight="1">
      <c r="A346" s="11"/>
      <c r="B346" s="11"/>
      <c r="C346" s="11"/>
      <c r="D346" s="11"/>
      <c r="E346" s="11"/>
      <c r="F346" s="11"/>
      <c r="G346" s="11"/>
      <c r="H346" s="11"/>
      <c r="I346" s="11"/>
      <c r="J346" s="11"/>
    </row>
    <row r="347" ht="17" customHeight="1">
      <c r="A347" s="11"/>
      <c r="B347" s="11"/>
      <c r="C347" s="11"/>
      <c r="D347" s="11"/>
      <c r="E347" s="11"/>
      <c r="F347" s="11"/>
      <c r="G347" s="11"/>
      <c r="H347" s="11"/>
      <c r="I347" s="11"/>
      <c r="J347" s="11"/>
    </row>
    <row r="348" ht="17" customHeight="1">
      <c r="A348" s="11"/>
      <c r="B348" s="11"/>
      <c r="C348" s="11"/>
      <c r="D348" s="11"/>
      <c r="E348" s="11"/>
      <c r="F348" s="11"/>
      <c r="G348" s="11"/>
      <c r="H348" s="11"/>
      <c r="I348" s="11"/>
      <c r="J348" s="11"/>
    </row>
    <row r="349" ht="17" customHeight="1">
      <c r="A349" s="11"/>
      <c r="B349" s="11"/>
      <c r="C349" s="11"/>
      <c r="D349" s="11"/>
      <c r="E349" s="11"/>
      <c r="F349" s="11"/>
      <c r="G349" s="11"/>
      <c r="H349" s="11"/>
      <c r="I349" s="11"/>
      <c r="J349" s="11"/>
    </row>
    <row r="350" ht="17" customHeight="1">
      <c r="A350" s="11"/>
      <c r="B350" s="11"/>
      <c r="C350" s="11"/>
      <c r="D350" s="11"/>
      <c r="E350" s="11"/>
      <c r="F350" s="11"/>
      <c r="G350" s="11"/>
      <c r="H350" s="11"/>
      <c r="I350" s="11"/>
      <c r="J350" s="11"/>
    </row>
    <row r="351" ht="17" customHeight="1">
      <c r="A351" s="11"/>
      <c r="B351" s="11"/>
      <c r="C351" s="11"/>
      <c r="D351" s="11"/>
      <c r="E351" s="11"/>
      <c r="F351" s="11"/>
      <c r="G351" s="11"/>
      <c r="H351" s="11"/>
      <c r="I351" s="11"/>
      <c r="J351" s="11"/>
    </row>
    <row r="352" ht="17" customHeight="1">
      <c r="A352" s="11"/>
      <c r="B352" s="11"/>
      <c r="C352" s="11"/>
      <c r="D352" s="11"/>
      <c r="E352" s="11"/>
      <c r="F352" s="11"/>
      <c r="G352" s="11"/>
      <c r="H352" s="11"/>
      <c r="I352" s="11"/>
      <c r="J352" s="11"/>
    </row>
    <row r="353" ht="17" customHeight="1">
      <c r="A353" s="11"/>
      <c r="B353" s="11"/>
      <c r="C353" s="11"/>
      <c r="D353" s="11"/>
      <c r="E353" s="11"/>
      <c r="F353" s="11"/>
      <c r="G353" s="11"/>
      <c r="H353" s="11"/>
      <c r="I353" s="11"/>
      <c r="J353" s="11"/>
    </row>
    <row r="354" ht="17" customHeight="1">
      <c r="A354" s="11"/>
      <c r="B354" s="11"/>
      <c r="C354" s="11"/>
      <c r="D354" s="11"/>
      <c r="E354" s="11"/>
      <c r="F354" s="11"/>
      <c r="G354" s="11"/>
      <c r="H354" s="11"/>
      <c r="I354" s="11"/>
      <c r="J354" s="11"/>
    </row>
    <row r="355" ht="17" customHeight="1">
      <c r="A355" s="11"/>
      <c r="B355" s="11"/>
      <c r="C355" s="11"/>
      <c r="D355" s="11"/>
      <c r="E355" s="11"/>
      <c r="F355" s="11"/>
      <c r="G355" s="11"/>
      <c r="H355" s="11"/>
      <c r="I355" s="11"/>
      <c r="J355" s="11"/>
    </row>
    <row r="356" ht="17" customHeight="1">
      <c r="A356" s="11"/>
      <c r="B356" s="11"/>
      <c r="C356" s="11"/>
      <c r="D356" s="11"/>
      <c r="E356" s="11"/>
      <c r="F356" s="11"/>
      <c r="G356" s="11"/>
      <c r="H356" s="11"/>
      <c r="I356" s="11"/>
      <c r="J356" s="11"/>
    </row>
    <row r="357" ht="17" customHeight="1">
      <c r="A357" s="11"/>
      <c r="B357" s="11"/>
      <c r="C357" s="11"/>
      <c r="D357" s="11"/>
      <c r="E357" s="11"/>
      <c r="F357" s="11"/>
      <c r="G357" s="11"/>
      <c r="H357" s="11"/>
      <c r="I357" s="11"/>
      <c r="J357" s="11"/>
    </row>
    <row r="358" ht="17" customHeight="1">
      <c r="A358" s="11"/>
      <c r="B358" s="11"/>
      <c r="C358" s="11"/>
      <c r="D358" s="11"/>
      <c r="E358" s="11"/>
      <c r="F358" s="11"/>
      <c r="G358" s="11"/>
      <c r="H358" s="11"/>
      <c r="I358" s="11"/>
      <c r="J358" s="11"/>
    </row>
    <row r="359" ht="17" customHeight="1">
      <c r="A359" s="11"/>
      <c r="B359" s="11"/>
      <c r="C359" s="11"/>
      <c r="D359" s="11"/>
      <c r="E359" s="11"/>
      <c r="F359" s="11"/>
      <c r="G359" s="11"/>
      <c r="H359" s="11"/>
      <c r="I359" s="11"/>
      <c r="J359" s="11"/>
    </row>
    <row r="360" ht="17" customHeight="1">
      <c r="A360" s="11"/>
      <c r="B360" s="11"/>
      <c r="C360" s="11"/>
      <c r="D360" s="11"/>
      <c r="E360" s="11"/>
      <c r="F360" s="11"/>
      <c r="G360" s="11"/>
      <c r="H360" s="11"/>
      <c r="I360" s="11"/>
      <c r="J360" s="11"/>
    </row>
    <row r="361" ht="17" customHeight="1">
      <c r="A361" s="11"/>
      <c r="B361" s="11"/>
      <c r="C361" s="11"/>
      <c r="D361" s="11"/>
      <c r="E361" s="11"/>
      <c r="F361" s="11"/>
      <c r="G361" s="11"/>
      <c r="H361" s="11"/>
      <c r="I361" s="11"/>
      <c r="J361" s="11"/>
    </row>
    <row r="362" ht="17" customHeight="1">
      <c r="A362" s="11"/>
      <c r="B362" s="11"/>
      <c r="C362" s="11"/>
      <c r="D362" s="11"/>
      <c r="E362" s="11"/>
      <c r="F362" s="11"/>
      <c r="G362" s="11"/>
      <c r="H362" s="11"/>
      <c r="I362" s="11"/>
      <c r="J362" s="11"/>
    </row>
    <row r="363" ht="17" customHeight="1">
      <c r="A363" s="11"/>
      <c r="B363" s="11"/>
      <c r="C363" s="11"/>
      <c r="D363" s="11"/>
      <c r="E363" s="11"/>
      <c r="F363" s="11"/>
      <c r="G363" s="11"/>
      <c r="H363" s="11"/>
      <c r="I363" s="11"/>
      <c r="J363" s="11"/>
    </row>
    <row r="364" ht="17" customHeight="1">
      <c r="A364" s="11"/>
      <c r="B364" s="11"/>
      <c r="C364" s="11"/>
      <c r="D364" s="11"/>
      <c r="E364" s="11"/>
      <c r="F364" s="11"/>
      <c r="G364" s="11"/>
      <c r="H364" s="11"/>
      <c r="I364" s="11"/>
      <c r="J364" s="11"/>
    </row>
    <row r="365" ht="17" customHeight="1">
      <c r="A365" s="11"/>
      <c r="B365" s="11"/>
      <c r="C365" s="11"/>
      <c r="D365" s="11"/>
      <c r="E365" s="11"/>
      <c r="F365" s="11"/>
      <c r="G365" s="11"/>
      <c r="H365" s="11"/>
      <c r="I365" s="11"/>
      <c r="J365" s="11"/>
    </row>
    <row r="366" ht="17" customHeight="1">
      <c r="A366" s="11"/>
      <c r="B366" s="11"/>
      <c r="C366" s="11"/>
      <c r="D366" s="11"/>
      <c r="E366" s="11"/>
      <c r="F366" s="11"/>
      <c r="G366" s="11"/>
      <c r="H366" s="11"/>
      <c r="I366" s="11"/>
      <c r="J366" s="11"/>
    </row>
    <row r="367" ht="17" customHeight="1">
      <c r="A367" s="11"/>
      <c r="B367" s="11"/>
      <c r="C367" s="11"/>
      <c r="D367" s="11"/>
      <c r="E367" s="11"/>
      <c r="F367" s="11"/>
      <c r="G367" s="11"/>
      <c r="H367" s="11"/>
      <c r="I367" s="11"/>
      <c r="J367" s="11"/>
    </row>
    <row r="368" ht="17" customHeight="1">
      <c r="A368" s="11"/>
      <c r="B368" s="11"/>
      <c r="C368" s="11"/>
      <c r="D368" s="11"/>
      <c r="E368" s="11"/>
      <c r="F368" s="11"/>
      <c r="G368" s="11"/>
      <c r="H368" s="11"/>
      <c r="I368" s="11"/>
      <c r="J368" s="11"/>
    </row>
    <row r="369" ht="17" customHeight="1">
      <c r="A369" s="11"/>
      <c r="B369" s="11"/>
      <c r="C369" s="11"/>
      <c r="D369" s="11"/>
      <c r="E369" s="11"/>
      <c r="F369" s="11"/>
      <c r="G369" s="11"/>
      <c r="H369" s="11"/>
      <c r="I369" s="11"/>
      <c r="J369" s="11"/>
    </row>
    <row r="370" ht="17" customHeight="1">
      <c r="A370" s="11"/>
      <c r="B370" s="11"/>
      <c r="C370" s="11"/>
      <c r="D370" s="11"/>
      <c r="E370" s="11"/>
      <c r="F370" s="11"/>
      <c r="G370" s="11"/>
      <c r="H370" s="11"/>
      <c r="I370" s="11"/>
      <c r="J370" s="11"/>
    </row>
    <row r="371" ht="17" customHeight="1">
      <c r="A371" s="11"/>
      <c r="B371" s="11"/>
      <c r="C371" s="11"/>
      <c r="D371" s="11"/>
      <c r="E371" s="11"/>
      <c r="F371" s="11"/>
      <c r="G371" s="11"/>
      <c r="H371" s="11"/>
      <c r="I371" s="11"/>
      <c r="J371" s="11"/>
    </row>
    <row r="372" ht="17" customHeight="1">
      <c r="A372" s="11"/>
      <c r="B372" s="11"/>
      <c r="C372" s="11"/>
      <c r="D372" s="11"/>
      <c r="E372" s="11"/>
      <c r="F372" s="11"/>
      <c r="G372" s="11"/>
      <c r="H372" s="11"/>
      <c r="I372" s="11"/>
      <c r="J372" s="11"/>
    </row>
    <row r="373" ht="17" customHeight="1">
      <c r="A373" s="11"/>
      <c r="B373" s="11"/>
      <c r="C373" s="11"/>
      <c r="D373" s="11"/>
      <c r="E373" s="11"/>
      <c r="F373" s="11"/>
      <c r="G373" s="11"/>
      <c r="H373" s="11"/>
      <c r="I373" s="11"/>
      <c r="J373" s="11"/>
    </row>
    <row r="374" ht="19" customHeight="1">
      <c r="A374" s="975">
        <v>40279</v>
      </c>
      <c r="B374" s="11"/>
      <c r="C374" s="11"/>
      <c r="D374" s="11"/>
      <c r="E374" s="11"/>
      <c r="F374" s="11"/>
      <c r="G374" s="11"/>
      <c r="H374" s="11"/>
      <c r="I374" s="11"/>
      <c r="J374" s="11"/>
    </row>
    <row r="375" ht="17" customHeight="1">
      <c r="A375" s="11"/>
      <c r="B375" s="11"/>
      <c r="C375" s="11"/>
      <c r="D375" s="11"/>
      <c r="E375" s="11"/>
      <c r="F375" s="11"/>
      <c r="G375" s="11"/>
      <c r="H375" s="11"/>
      <c r="I375" s="11"/>
      <c r="J375" s="11"/>
    </row>
    <row r="376" ht="17" customHeight="1">
      <c r="A376" s="11"/>
      <c r="B376" s="11"/>
      <c r="C376" s="11"/>
      <c r="D376" s="11"/>
      <c r="E376" s="11"/>
      <c r="F376" s="11"/>
      <c r="G376" s="11"/>
      <c r="H376" s="11"/>
      <c r="I376" s="11"/>
      <c r="J376" s="11"/>
    </row>
    <row r="377" ht="17" customHeight="1">
      <c r="A377" s="11"/>
      <c r="B377" s="11"/>
      <c r="C377" s="11"/>
      <c r="D377" s="11"/>
      <c r="E377" s="11"/>
      <c r="F377" s="11"/>
      <c r="G377" s="11"/>
      <c r="H377" s="11"/>
      <c r="I377" s="11"/>
      <c r="J377" s="11"/>
    </row>
    <row r="378" ht="17" customHeight="1">
      <c r="A378" s="11"/>
      <c r="B378" s="11"/>
      <c r="C378" s="11"/>
      <c r="D378" s="11"/>
      <c r="E378" s="11"/>
      <c r="F378" s="11"/>
      <c r="G378" s="11"/>
      <c r="H378" s="11"/>
      <c r="I378" s="11"/>
      <c r="J378" s="11"/>
    </row>
    <row r="379" ht="17" customHeight="1">
      <c r="A379" s="11"/>
      <c r="B379" s="11"/>
      <c r="C379" s="11"/>
      <c r="D379" s="11"/>
      <c r="E379" s="11"/>
      <c r="F379" s="11"/>
      <c r="G379" s="11"/>
      <c r="H379" s="11"/>
      <c r="I379" s="11"/>
      <c r="J379" s="11"/>
    </row>
    <row r="380" ht="17" customHeight="1">
      <c r="A380" s="11"/>
      <c r="B380" s="11"/>
      <c r="C380" s="11"/>
      <c r="D380" s="11"/>
      <c r="E380" s="11"/>
      <c r="F380" s="11"/>
      <c r="G380" s="11"/>
      <c r="H380" s="11"/>
      <c r="I380" s="11"/>
      <c r="J380" s="11"/>
    </row>
    <row r="381" ht="17" customHeight="1">
      <c r="A381" s="11"/>
      <c r="B381" s="11"/>
      <c r="C381" s="11"/>
      <c r="D381" s="11"/>
      <c r="E381" s="11"/>
      <c r="F381" s="11"/>
      <c r="G381" s="11"/>
      <c r="H381" s="11"/>
      <c r="I381" s="11"/>
      <c r="J381" s="11"/>
    </row>
    <row r="382" ht="17" customHeight="1">
      <c r="A382" s="11"/>
      <c r="B382" s="11"/>
      <c r="C382" s="11"/>
      <c r="D382" s="11"/>
      <c r="E382" s="11"/>
      <c r="F382" s="11"/>
      <c r="G382" s="11"/>
      <c r="H382" s="11"/>
      <c r="I382" s="11"/>
      <c r="J382" s="11"/>
    </row>
    <row r="383" ht="17" customHeight="1">
      <c r="A383" s="11"/>
      <c r="B383" s="11"/>
      <c r="C383" s="11"/>
      <c r="D383" s="11"/>
      <c r="E383" s="11"/>
      <c r="F383" s="11"/>
      <c r="G383" s="11"/>
      <c r="H383" s="11"/>
      <c r="I383" s="11"/>
      <c r="J383" s="11"/>
    </row>
    <row r="384" ht="17" customHeight="1">
      <c r="A384" s="11"/>
      <c r="B384" s="11"/>
      <c r="C384" s="11"/>
      <c r="D384" s="11"/>
      <c r="E384" s="11"/>
      <c r="F384" s="11"/>
      <c r="G384" s="11"/>
      <c r="H384" s="11"/>
      <c r="I384" s="11"/>
      <c r="J384" s="11"/>
    </row>
    <row r="385" ht="17" customHeight="1">
      <c r="A385" s="11"/>
      <c r="B385" s="11"/>
      <c r="C385" s="11"/>
      <c r="D385" s="11"/>
      <c r="E385" s="11"/>
      <c r="F385" s="11"/>
      <c r="G385" s="11"/>
      <c r="H385" s="11"/>
      <c r="I385" s="11"/>
      <c r="J385" s="11"/>
    </row>
    <row r="386" ht="17" customHeight="1">
      <c r="A386" s="11"/>
      <c r="B386" s="11"/>
      <c r="C386" s="11"/>
      <c r="D386" s="11"/>
      <c r="E386" s="11"/>
      <c r="F386" s="11"/>
      <c r="G386" s="11"/>
      <c r="H386" s="11"/>
      <c r="I386" s="11"/>
      <c r="J386" s="11"/>
    </row>
    <row r="387" ht="17" customHeight="1">
      <c r="A387" s="11"/>
      <c r="B387" s="11"/>
      <c r="C387" s="11"/>
      <c r="D387" s="11"/>
      <c r="E387" s="11"/>
      <c r="F387" s="11"/>
      <c r="G387" s="11"/>
      <c r="H387" s="11"/>
      <c r="I387" s="11"/>
      <c r="J387" s="11"/>
    </row>
    <row r="388" ht="17" customHeight="1">
      <c r="A388" s="11"/>
      <c r="B388" s="11"/>
      <c r="C388" s="11"/>
      <c r="D388" s="11"/>
      <c r="E388" s="11"/>
      <c r="F388" s="11"/>
      <c r="G388" s="11"/>
      <c r="H388" s="11"/>
      <c r="I388" s="11"/>
      <c r="J388" s="11"/>
    </row>
    <row r="389" ht="17" customHeight="1">
      <c r="A389" s="11"/>
      <c r="B389" s="11"/>
      <c r="C389" s="11"/>
      <c r="D389" s="11"/>
      <c r="E389" s="11"/>
      <c r="F389" s="11"/>
      <c r="G389" s="11"/>
      <c r="H389" s="11"/>
      <c r="I389" s="11"/>
      <c r="J389" s="11"/>
    </row>
    <row r="390" ht="17" customHeight="1">
      <c r="A390" s="11"/>
      <c r="B390" s="11"/>
      <c r="C390" s="11"/>
      <c r="D390" s="11"/>
      <c r="E390" s="11"/>
      <c r="F390" s="11"/>
      <c r="G390" s="11"/>
      <c r="H390" s="11"/>
      <c r="I390" s="11"/>
      <c r="J390" s="11"/>
    </row>
    <row r="391" ht="17" customHeight="1">
      <c r="A391" s="11"/>
      <c r="B391" s="11"/>
      <c r="C391" s="11"/>
      <c r="D391" s="11"/>
      <c r="E391" s="11"/>
      <c r="F391" s="11"/>
      <c r="G391" s="11"/>
      <c r="H391" s="11"/>
      <c r="I391" s="11"/>
      <c r="J391" s="11"/>
    </row>
    <row r="392" ht="17" customHeight="1">
      <c r="A392" s="11"/>
      <c r="B392" s="11"/>
      <c r="C392" s="11"/>
      <c r="D392" s="11"/>
      <c r="E392" s="11"/>
      <c r="F392" s="11"/>
      <c r="G392" s="11"/>
      <c r="H392" s="11"/>
      <c r="I392" s="11"/>
      <c r="J392" s="11"/>
    </row>
    <row r="393" ht="17" customHeight="1">
      <c r="A393" s="11"/>
      <c r="B393" s="11"/>
      <c r="C393" s="11"/>
      <c r="D393" s="11"/>
      <c r="E393" s="11"/>
      <c r="F393" s="11"/>
      <c r="G393" s="11"/>
      <c r="H393" s="11"/>
      <c r="I393" s="11"/>
      <c r="J393" s="11"/>
    </row>
    <row r="394" ht="17" customHeight="1">
      <c r="A394" s="11"/>
      <c r="B394" s="11"/>
      <c r="C394" s="11"/>
      <c r="D394" s="11"/>
      <c r="E394" s="11"/>
      <c r="F394" s="11"/>
      <c r="G394" s="11"/>
      <c r="H394" s="11"/>
      <c r="I394" s="11"/>
      <c r="J394" s="11"/>
    </row>
    <row r="395" ht="17" customHeight="1">
      <c r="A395" s="11"/>
      <c r="B395" s="11"/>
      <c r="C395" s="11"/>
      <c r="D395" s="11"/>
      <c r="E395" s="11"/>
      <c r="F395" s="11"/>
      <c r="G395" s="11"/>
      <c r="H395" s="11"/>
      <c r="I395" s="11"/>
      <c r="J395" s="11"/>
    </row>
    <row r="396" ht="17" customHeight="1">
      <c r="A396" s="11"/>
      <c r="B396" s="11"/>
      <c r="C396" s="11"/>
      <c r="D396" s="11"/>
      <c r="E396" s="11"/>
      <c r="F396" s="11"/>
      <c r="G396" s="11"/>
      <c r="H396" s="11"/>
      <c r="I396" s="11"/>
      <c r="J396" s="11"/>
    </row>
    <row r="397" ht="17" customHeight="1">
      <c r="A397" s="11"/>
      <c r="B397" s="11"/>
      <c r="C397" s="11"/>
      <c r="D397" s="11"/>
      <c r="E397" s="11"/>
      <c r="F397" s="11"/>
      <c r="G397" s="11"/>
      <c r="H397" s="11"/>
      <c r="I397" s="11"/>
      <c r="J397" s="11"/>
    </row>
    <row r="398" ht="17" customHeight="1">
      <c r="A398" s="11"/>
      <c r="B398" s="11"/>
      <c r="C398" s="11"/>
      <c r="D398" s="11"/>
      <c r="E398" s="11"/>
      <c r="F398" s="11"/>
      <c r="G398" s="11"/>
      <c r="H398" s="11"/>
      <c r="I398" s="11"/>
      <c r="J398" s="11"/>
    </row>
    <row r="399" ht="17" customHeight="1">
      <c r="A399" s="11"/>
      <c r="B399" s="11"/>
      <c r="C399" s="11"/>
      <c r="D399" s="11"/>
      <c r="E399" s="11"/>
      <c r="F399" s="11"/>
      <c r="G399" s="11"/>
      <c r="H399" s="11"/>
      <c r="I399" s="11"/>
      <c r="J399" s="11"/>
    </row>
    <row r="400" ht="19" customHeight="1">
      <c r="A400" s="86">
        <v>43550</v>
      </c>
      <c r="B400" s="11"/>
      <c r="C400" s="11"/>
      <c r="D400" s="11"/>
      <c r="E400" s="11"/>
      <c r="F400" s="11"/>
      <c r="G400" s="11"/>
      <c r="H400" s="11"/>
      <c r="I400" s="11"/>
      <c r="J400" s="11"/>
    </row>
    <row r="401" ht="19" customHeight="1">
      <c r="A401" s="86">
        <v>40323</v>
      </c>
      <c r="B401" s="11"/>
      <c r="C401" s="11"/>
      <c r="D401" s="11"/>
      <c r="E401" s="11"/>
      <c r="F401" s="11"/>
      <c r="G401" s="11"/>
      <c r="H401" s="11"/>
      <c r="I401" s="11"/>
      <c r="J401" s="11"/>
    </row>
    <row r="402" ht="17" customHeight="1">
      <c r="A402" s="11"/>
      <c r="B402" s="11"/>
      <c r="C402" s="11"/>
      <c r="D402" s="11"/>
      <c r="E402" s="11"/>
      <c r="F402" s="11"/>
      <c r="G402" s="11"/>
      <c r="H402" s="11"/>
      <c r="I402" s="11"/>
      <c r="J402" s="11"/>
    </row>
    <row r="403" ht="19" customHeight="1">
      <c r="A403" s="86">
        <v>40289</v>
      </c>
      <c r="B403" s="11"/>
      <c r="C403" s="11"/>
      <c r="D403" s="11"/>
      <c r="E403" s="11"/>
      <c r="F403" s="11"/>
      <c r="G403" s="11"/>
      <c r="H403" s="11"/>
      <c r="I403" s="11"/>
      <c r="J403" s="11"/>
    </row>
    <row r="404" ht="19" customHeight="1">
      <c r="A404" s="86">
        <v>40302</v>
      </c>
      <c r="B404" s="11"/>
      <c r="C404" s="11"/>
      <c r="D404" s="11"/>
      <c r="E404" s="11"/>
      <c r="F404" s="11"/>
      <c r="G404" s="11"/>
      <c r="H404" s="11"/>
      <c r="I404" s="11"/>
      <c r="J404" s="11"/>
    </row>
    <row r="405" ht="17" customHeight="1">
      <c r="A405" s="11"/>
      <c r="B405" s="11"/>
      <c r="C405" s="11"/>
      <c r="D405" s="11"/>
      <c r="E405" s="11"/>
      <c r="F405" s="11"/>
      <c r="G405" s="11"/>
      <c r="H405" s="11"/>
      <c r="I405" s="11"/>
      <c r="J405" s="11"/>
    </row>
    <row r="406" ht="17" customHeight="1">
      <c r="A406" s="11"/>
      <c r="B406" s="11"/>
      <c r="C406" s="11"/>
      <c r="D406" s="11"/>
      <c r="E406" s="11"/>
      <c r="F406" s="11"/>
      <c r="G406" s="11"/>
      <c r="H406" s="11"/>
      <c r="I406" s="11"/>
      <c r="J406" s="11"/>
    </row>
    <row r="407" ht="17" customHeight="1">
      <c r="A407" s="11"/>
      <c r="B407" s="11"/>
      <c r="C407" s="11"/>
      <c r="D407" s="11"/>
      <c r="E407" s="11"/>
      <c r="F407" s="11"/>
      <c r="G407" s="11"/>
      <c r="H407" s="11"/>
      <c r="I407" s="11"/>
      <c r="J407" s="11"/>
    </row>
    <row r="408" ht="17" customHeight="1">
      <c r="A408" s="11"/>
      <c r="B408" s="11"/>
      <c r="C408" s="11"/>
      <c r="D408" s="11"/>
      <c r="E408" s="11"/>
      <c r="F408" s="11"/>
      <c r="G408" s="11"/>
      <c r="H408" s="11"/>
      <c r="I408" s="11"/>
      <c r="J408" s="11"/>
    </row>
    <row r="409" ht="17" customHeight="1">
      <c r="A409" s="11"/>
      <c r="B409" s="11"/>
      <c r="C409" s="11"/>
      <c r="D409" s="11"/>
      <c r="E409" s="11"/>
      <c r="F409" s="11"/>
      <c r="G409" s="11"/>
      <c r="H409" s="11"/>
      <c r="I409" s="11"/>
      <c r="J409" s="11"/>
    </row>
    <row r="410" ht="17" customHeight="1">
      <c r="A410" s="11"/>
      <c r="B410" s="11"/>
      <c r="C410" s="11"/>
      <c r="D410" s="11"/>
      <c r="E410" s="11"/>
      <c r="F410" s="11"/>
      <c r="G410" s="11"/>
      <c r="H410" s="11"/>
      <c r="I410" s="11"/>
      <c r="J410" s="11"/>
    </row>
    <row r="411" ht="17" customHeight="1">
      <c r="A411" s="11"/>
      <c r="B411" s="11"/>
      <c r="C411" s="11"/>
      <c r="D411" s="11"/>
      <c r="E411" s="11"/>
      <c r="F411" s="11"/>
      <c r="G411" s="11"/>
      <c r="H411" s="11"/>
      <c r="I411" s="11"/>
      <c r="J411" s="11"/>
    </row>
    <row r="412" ht="17" customHeight="1">
      <c r="A412" s="11"/>
      <c r="B412" s="11"/>
      <c r="C412" s="11"/>
      <c r="D412" s="11"/>
      <c r="E412" s="11"/>
      <c r="F412" s="11"/>
      <c r="G412" s="11"/>
      <c r="H412" s="11"/>
      <c r="I412" s="11"/>
      <c r="J412" s="11"/>
    </row>
    <row r="413" ht="19" customHeight="1">
      <c r="A413" s="86">
        <v>40288</v>
      </c>
      <c r="B413" s="11"/>
      <c r="C413" s="11"/>
      <c r="D413" s="11"/>
      <c r="E413" s="11"/>
      <c r="F413" s="11"/>
      <c r="G413" s="11"/>
      <c r="H413" s="11"/>
      <c r="I413" s="11"/>
      <c r="J413" s="11"/>
    </row>
  </sheetData>
  <mergeCells count="2">
    <mergeCell ref="A5:E5"/>
    <mergeCell ref="H29:I29"/>
  </mergeCells>
  <pageMargins left="0.75" right="0.75" top="1" bottom="1" header="0.5" footer="0.5"/>
  <pageSetup firstPageNumber="1" fitToHeight="1" fitToWidth="1" scale="100" useFirstPageNumber="0" orientation="portrait" pageOrder="downThenOver"/>
  <headerFooter>
    <oddFooter>&amp;L&amp;"Arial,Regular"&amp;10&amp;K000000FILE PATH??Appraisal Tool 201718  V8 50 Yrs.xlsm</oddFooter>
  </headerFooter>
  <drawing r:id="rId1"/>
  <legacyDrawing r:id="rId2"/>
</worksheet>
</file>

<file path=xl/worksheets/sheet26.xml><?xml version="1.0" encoding="utf-8"?>
<worksheet xmlns:r="http://schemas.openxmlformats.org/officeDocument/2006/relationships" xmlns="http://schemas.openxmlformats.org/spreadsheetml/2006/main">
  <dimension ref="A1:BB401"/>
  <sheetViews>
    <sheetView workbookViewId="0" defaultGridColor="0" colorId="16"/>
  </sheetViews>
  <sheetFormatPr defaultColWidth="6.625" defaultRowHeight="15" customHeight="1" outlineLevelRow="0" outlineLevelCol="0"/>
  <cols>
    <col min="1" max="1" width="30.375" style="977" customWidth="1"/>
    <col min="2" max="2" width="7.375" style="977" customWidth="1"/>
    <col min="3" max="3" width="9.5" style="977" customWidth="1"/>
    <col min="4" max="4" width="9.5" style="977" customWidth="1"/>
    <col min="5" max="5" width="10.875" style="977" customWidth="1"/>
    <col min="6" max="6" width="9.25" style="977" customWidth="1"/>
    <col min="7" max="7" width="9.5" style="977" customWidth="1"/>
    <col min="8" max="8" width="11.125" style="977" customWidth="1"/>
    <col min="9" max="9" width="9.25" style="977" customWidth="1"/>
    <col min="10" max="10" width="9.25" style="977" customWidth="1"/>
    <col min="11" max="11" width="9.5" style="977" customWidth="1"/>
    <col min="12" max="12" width="9.5" style="977" customWidth="1"/>
    <col min="13" max="13" width="9.5" style="977" customWidth="1"/>
    <col min="14" max="14" width="9.5" style="977" customWidth="1"/>
    <col min="15" max="15" width="10" style="977" customWidth="1"/>
    <col min="16" max="16" width="10" style="977" customWidth="1"/>
    <col min="17" max="17" width="10.25" style="977" customWidth="1"/>
    <col min="18" max="18" width="10" style="977" customWidth="1"/>
    <col min="19" max="19" width="9.875" style="977" customWidth="1"/>
    <col min="20" max="20" width="9.875" style="977" customWidth="1"/>
    <col min="21" max="21" width="10.125" style="977" customWidth="1"/>
    <col min="22" max="22" width="9.875" style="977" customWidth="1"/>
    <col min="23" max="23" width="10.125" style="977" customWidth="1"/>
    <col min="24" max="24" width="10.375" style="977" customWidth="1"/>
    <col min="25" max="25" width="10.125" style="977" customWidth="1"/>
    <col min="26" max="26" width="10.375" style="977" customWidth="1"/>
    <col min="27" max="27" width="10.375" style="977" customWidth="1"/>
    <col min="28" max="28" width="10.125" style="977" customWidth="1"/>
    <col min="29" max="29" width="10.375" style="977" customWidth="1"/>
    <col min="30" max="30" width="10.375" style="977" customWidth="1"/>
    <col min="31" max="31" width="10.375" style="977" customWidth="1"/>
    <col min="32" max="32" width="10.125" style="977" customWidth="1"/>
    <col min="33" max="33" width="10.125" style="977" customWidth="1"/>
    <col min="34" max="34" width="10.375" style="977" customWidth="1"/>
    <col min="35" max="35" width="10.375" style="977" customWidth="1"/>
    <col min="36" max="36" width="10.375" style="977" customWidth="1"/>
    <col min="37" max="37" width="10.375" style="977" customWidth="1"/>
    <col min="38" max="38" width="10.375" style="977" customWidth="1"/>
    <col min="39" max="39" width="10.375" style="977" customWidth="1"/>
    <col min="40" max="40" width="10.375" style="977" customWidth="1"/>
    <col min="41" max="41" width="10.375" style="977" customWidth="1"/>
    <col min="42" max="42" width="10.375" style="977" customWidth="1"/>
    <col min="43" max="43" width="10.375" style="977" customWidth="1"/>
    <col min="44" max="44" width="10.375" style="977" customWidth="1"/>
    <col min="45" max="45" width="10.375" style="977" customWidth="1"/>
    <col min="46" max="46" width="10.375" style="977" customWidth="1"/>
    <col min="47" max="47" width="10.375" style="977" customWidth="1"/>
    <col min="48" max="48" width="10.375" style="977" customWidth="1"/>
    <col min="49" max="49" width="10.375" style="977" customWidth="1"/>
    <col min="50" max="50" width="10.375" style="977" customWidth="1"/>
    <col min="51" max="51" width="10.375" style="977" customWidth="1"/>
    <col min="52" max="52" width="10.375" style="977" customWidth="1"/>
    <col min="53" max="53" width="10.375" style="977" customWidth="1"/>
    <col min="54" max="54" width="10.375" style="977" customWidth="1"/>
    <col min="55" max="256" width="6.625" style="976" customWidth="1"/>
  </cols>
  <sheetData>
    <row r="1" s="978" customFormat="1" ht="18" customHeight="1">
      <c r="A1" t="s" s="979">
        <v>1000</v>
      </c>
      <c r="B1" s="980"/>
      <c r="C1" t="s" s="981">
        <f>'Summary'!B3</f>
        <v>950</v>
      </c>
      <c r="D1" s="980"/>
      <c r="E1" s="982"/>
      <c r="F1" s="983"/>
      <c r="G1" s="983"/>
      <c r="H1" s="983"/>
      <c r="I1" s="983"/>
      <c r="J1" s="983"/>
      <c r="K1" s="983"/>
      <c r="L1" s="9"/>
      <c r="M1" s="662"/>
      <c r="N1" s="983"/>
      <c r="O1" s="983"/>
      <c r="P1" s="983"/>
      <c r="Q1" s="983"/>
      <c r="R1" s="983"/>
      <c r="S1" s="983"/>
      <c r="T1" s="983"/>
      <c r="U1" s="983"/>
      <c r="V1" s="983"/>
      <c r="W1" s="983"/>
      <c r="X1" s="983"/>
      <c r="Y1" s="983"/>
      <c r="Z1" s="983"/>
      <c r="AA1" s="983"/>
      <c r="AB1" s="983"/>
      <c r="AC1" s="983"/>
      <c r="AD1" s="983"/>
      <c r="AE1" s="983"/>
      <c r="AF1" s="983"/>
      <c r="AG1" s="983"/>
      <c r="AH1" s="983"/>
      <c r="AI1" s="983"/>
      <c r="AJ1" s="983"/>
      <c r="AK1" s="983"/>
      <c r="AL1" s="983"/>
      <c r="AM1" s="983"/>
      <c r="AN1" s="983"/>
      <c r="AO1" s="983"/>
      <c r="AP1" s="983"/>
      <c r="AQ1" s="983"/>
      <c r="AR1" s="983"/>
      <c r="AS1" s="983"/>
      <c r="AT1" s="983"/>
      <c r="AU1" s="983"/>
      <c r="AV1" s="983"/>
      <c r="AW1" s="983"/>
      <c r="AX1" s="983"/>
      <c r="AY1" s="983"/>
      <c r="AZ1" s="983"/>
      <c r="BA1" s="983"/>
      <c r="BB1" s="984"/>
    </row>
    <row r="2" s="978" customFormat="1" ht="18" customHeight="1">
      <c r="A2" s="985"/>
      <c r="B2" s="127"/>
      <c r="C2" s="127"/>
      <c r="D2" s="127"/>
      <c r="E2" s="739"/>
      <c r="F2" s="986"/>
      <c r="G2" s="986"/>
      <c r="H2" s="986"/>
      <c r="I2" s="986"/>
      <c r="J2" s="986"/>
      <c r="K2" s="986"/>
      <c r="L2" s="9"/>
      <c r="M2" s="12"/>
      <c r="N2" s="986"/>
      <c r="O2" s="986"/>
      <c r="P2" s="986"/>
      <c r="Q2" s="986"/>
      <c r="R2" s="986"/>
      <c r="S2" s="986"/>
      <c r="T2" s="986"/>
      <c r="U2" s="986"/>
      <c r="V2" s="986"/>
      <c r="W2" s="986"/>
      <c r="X2" s="986"/>
      <c r="Y2" s="986"/>
      <c r="Z2" s="986"/>
      <c r="AA2" s="986"/>
      <c r="AB2" s="986"/>
      <c r="AC2" s="986"/>
      <c r="AD2" s="986"/>
      <c r="AE2" s="986"/>
      <c r="AF2" s="986"/>
      <c r="AG2" s="986"/>
      <c r="AH2" s="986"/>
      <c r="AI2" s="986"/>
      <c r="AJ2" s="986"/>
      <c r="AK2" s="986"/>
      <c r="AL2" s="986"/>
      <c r="AM2" s="986"/>
      <c r="AN2" s="986"/>
      <c r="AO2" s="986"/>
      <c r="AP2" s="986"/>
      <c r="AQ2" s="986"/>
      <c r="AR2" s="986"/>
      <c r="AS2" s="986"/>
      <c r="AT2" s="986"/>
      <c r="AU2" s="986"/>
      <c r="AV2" s="986"/>
      <c r="AW2" s="986"/>
      <c r="AX2" s="986"/>
      <c r="AY2" s="986"/>
      <c r="AZ2" s="986"/>
      <c r="BA2" s="986"/>
      <c r="BB2" s="987"/>
    </row>
    <row r="3" s="978" customFormat="1" ht="18" customHeight="1">
      <c r="A3" t="s" s="988">
        <v>578</v>
      </c>
      <c r="B3" s="86"/>
      <c r="C3" s="989">
        <f>'Project Information'!C26</f>
        <v>43952</v>
      </c>
      <c r="D3" s="989"/>
      <c r="E3" s="739">
        <v>11</v>
      </c>
      <c r="F3" s="990">
        <v>2021</v>
      </c>
      <c r="G3" s="986"/>
      <c r="H3" s="986"/>
      <c r="I3" s="56"/>
      <c r="J3" s="10"/>
      <c r="K3" s="986"/>
      <c r="L3" s="9"/>
      <c r="M3" s="9"/>
      <c r="N3" s="986"/>
      <c r="O3" s="986"/>
      <c r="P3" s="986"/>
      <c r="Q3" s="986"/>
      <c r="R3" s="986"/>
      <c r="S3" s="986"/>
      <c r="T3" s="986"/>
      <c r="U3" s="986"/>
      <c r="V3" s="986"/>
      <c r="W3" s="986"/>
      <c r="X3" s="986"/>
      <c r="Y3" s="986"/>
      <c r="Z3" s="986"/>
      <c r="AA3" s="986"/>
      <c r="AB3" s="986"/>
      <c r="AC3" s="986"/>
      <c r="AD3" s="986"/>
      <c r="AE3" s="986"/>
      <c r="AF3" s="986"/>
      <c r="AG3" s="986"/>
      <c r="AH3" s="986"/>
      <c r="AI3" s="986"/>
      <c r="AJ3" s="986"/>
      <c r="AK3" s="986"/>
      <c r="AL3" s="986"/>
      <c r="AM3" s="986"/>
      <c r="AN3" s="986"/>
      <c r="AO3" s="986"/>
      <c r="AP3" s="986"/>
      <c r="AQ3" s="986"/>
      <c r="AR3" s="986"/>
      <c r="AS3" s="986"/>
      <c r="AT3" s="986"/>
      <c r="AU3" s="986"/>
      <c r="AV3" s="986"/>
      <c r="AW3" s="986"/>
      <c r="AX3" s="986"/>
      <c r="AY3" s="986"/>
      <c r="AZ3" s="986"/>
      <c r="BA3" s="986"/>
      <c r="BB3" s="987"/>
    </row>
    <row r="4" s="978" customFormat="1" ht="18" customHeight="1">
      <c r="A4" t="s" s="988">
        <v>577</v>
      </c>
      <c r="B4" s="86"/>
      <c r="C4" s="989">
        <f>'Project Information'!C27</f>
        <v>43983</v>
      </c>
      <c r="D4" s="989"/>
      <c r="E4" s="739">
        <v>10</v>
      </c>
      <c r="F4" s="990">
        <v>2021</v>
      </c>
      <c r="G4" s="986"/>
      <c r="H4" s="986"/>
      <c r="I4" s="56"/>
      <c r="J4" s="12"/>
      <c r="K4" s="986"/>
      <c r="L4" s="13"/>
      <c r="M4" s="9"/>
      <c r="N4" s="986"/>
      <c r="O4" s="986"/>
      <c r="P4" s="986"/>
      <c r="Q4" s="986"/>
      <c r="R4" s="986"/>
      <c r="S4" s="986"/>
      <c r="T4" s="986"/>
      <c r="U4" s="986"/>
      <c r="V4" s="986"/>
      <c r="W4" s="986"/>
      <c r="X4" s="986"/>
      <c r="Y4" s="986"/>
      <c r="Z4" s="986"/>
      <c r="AA4" s="986"/>
      <c r="AB4" s="986"/>
      <c r="AC4" s="986"/>
      <c r="AD4" s="986"/>
      <c r="AE4" s="986"/>
      <c r="AF4" s="986"/>
      <c r="AG4" s="986"/>
      <c r="AH4" s="986"/>
      <c r="AI4" s="986"/>
      <c r="AJ4" s="986"/>
      <c r="AK4" s="986"/>
      <c r="AL4" s="986"/>
      <c r="AM4" s="986"/>
      <c r="AN4" s="986"/>
      <c r="AO4" s="986"/>
      <c r="AP4" s="986"/>
      <c r="AQ4" s="986"/>
      <c r="AR4" s="986"/>
      <c r="AS4" s="986"/>
      <c r="AT4" s="986"/>
      <c r="AU4" s="986"/>
      <c r="AV4" s="986"/>
      <c r="AW4" s="986"/>
      <c r="AX4" s="986"/>
      <c r="AY4" s="986"/>
      <c r="AZ4" s="986"/>
      <c r="BA4" s="986"/>
      <c r="BB4" s="987"/>
    </row>
    <row r="5" s="978" customFormat="1" ht="18" customHeight="1">
      <c r="A5" t="s" s="988">
        <v>152</v>
      </c>
      <c r="B5" s="86"/>
      <c r="C5" s="989">
        <f>'Project Information'!C28</f>
        <v>44348</v>
      </c>
      <c r="D5" s="989"/>
      <c r="E5" s="739">
        <v>10</v>
      </c>
      <c r="F5" s="990">
        <v>2022</v>
      </c>
      <c r="G5" s="986"/>
      <c r="H5" s="986"/>
      <c r="I5" s="56"/>
      <c r="J5" s="56"/>
      <c r="K5" s="986"/>
      <c r="L5" s="986"/>
      <c r="M5" s="986"/>
      <c r="N5" s="986"/>
      <c r="O5" s="986"/>
      <c r="P5" s="986"/>
      <c r="Q5" s="986"/>
      <c r="R5" s="986"/>
      <c r="S5" s="986"/>
      <c r="T5" s="986"/>
      <c r="U5" s="986"/>
      <c r="V5" s="986"/>
      <c r="W5" s="986"/>
      <c r="X5" s="986"/>
      <c r="Y5" s="986"/>
      <c r="Z5" s="986"/>
      <c r="AA5" s="986"/>
      <c r="AB5" s="986"/>
      <c r="AC5" s="986"/>
      <c r="AD5" s="986"/>
      <c r="AE5" s="986"/>
      <c r="AF5" s="986"/>
      <c r="AG5" s="986"/>
      <c r="AH5" s="986"/>
      <c r="AI5" s="986"/>
      <c r="AJ5" s="986"/>
      <c r="AK5" s="986"/>
      <c r="AL5" s="986"/>
      <c r="AM5" s="986"/>
      <c r="AN5" s="986"/>
      <c r="AO5" s="986"/>
      <c r="AP5" s="986"/>
      <c r="AQ5" s="986"/>
      <c r="AR5" s="986"/>
      <c r="AS5" s="986"/>
      <c r="AT5" s="986"/>
      <c r="AU5" s="986"/>
      <c r="AV5" s="986"/>
      <c r="AW5" s="986"/>
      <c r="AX5" s="986"/>
      <c r="AY5" s="986"/>
      <c r="AZ5" s="986"/>
      <c r="BA5" s="986"/>
      <c r="BB5" s="987"/>
    </row>
    <row r="6" s="978" customFormat="1" ht="18" customHeight="1">
      <c r="A6" t="s" s="991">
        <v>1001</v>
      </c>
      <c r="B6" s="101"/>
      <c r="C6" s="992"/>
      <c r="D6" s="176"/>
      <c r="E6" s="911">
        <v>12</v>
      </c>
      <c r="F6" t="s" s="993">
        <v>1002</v>
      </c>
      <c r="G6" s="986"/>
      <c r="H6" s="986"/>
      <c r="I6" s="67"/>
      <c r="J6" s="56"/>
      <c r="K6" s="986"/>
      <c r="L6" s="986"/>
      <c r="M6" s="986"/>
      <c r="N6" s="986"/>
      <c r="O6" s="986"/>
      <c r="P6" s="986"/>
      <c r="Q6" s="986"/>
      <c r="R6" s="986"/>
      <c r="S6" s="986"/>
      <c r="T6" s="986"/>
      <c r="U6" s="986"/>
      <c r="V6" s="986"/>
      <c r="W6" s="986"/>
      <c r="X6" s="986"/>
      <c r="Y6" s="986"/>
      <c r="Z6" s="986"/>
      <c r="AA6" s="986"/>
      <c r="AB6" s="986"/>
      <c r="AC6" s="986"/>
      <c r="AD6" s="986"/>
      <c r="AE6" s="986"/>
      <c r="AF6" s="986"/>
      <c r="AG6" s="986"/>
      <c r="AH6" s="986"/>
      <c r="AI6" s="986"/>
      <c r="AJ6" s="986"/>
      <c r="AK6" s="986"/>
      <c r="AL6" s="986"/>
      <c r="AM6" s="986"/>
      <c r="AN6" s="986"/>
      <c r="AO6" s="986"/>
      <c r="AP6" s="986"/>
      <c r="AQ6" s="986"/>
      <c r="AR6" s="986"/>
      <c r="AS6" s="986"/>
      <c r="AT6" s="986"/>
      <c r="AU6" s="986"/>
      <c r="AV6" s="986"/>
      <c r="AW6" s="986"/>
      <c r="AX6" s="986"/>
      <c r="AY6" s="986"/>
      <c r="AZ6" s="986"/>
      <c r="BA6" s="986"/>
      <c r="BB6" s="987"/>
    </row>
    <row r="7" s="978" customFormat="1" ht="18" customHeight="1">
      <c r="A7" s="994"/>
      <c r="B7" s="995"/>
      <c r="C7" s="995"/>
      <c r="D7" s="995"/>
      <c r="E7" s="986"/>
      <c r="F7" s="986"/>
      <c r="G7" s="996"/>
      <c r="H7" s="997"/>
      <c r="I7" s="986"/>
      <c r="J7" s="986"/>
      <c r="K7" s="986"/>
      <c r="L7" s="986"/>
      <c r="M7" s="986"/>
      <c r="N7" s="986"/>
      <c r="O7" s="986"/>
      <c r="P7" s="986"/>
      <c r="Q7" s="986"/>
      <c r="R7" s="986"/>
      <c r="S7" s="986"/>
      <c r="T7" s="986"/>
      <c r="U7" s="986"/>
      <c r="V7" s="986"/>
      <c r="W7" s="986"/>
      <c r="X7" s="986"/>
      <c r="Y7" s="986"/>
      <c r="Z7" s="986"/>
      <c r="AA7" s="986"/>
      <c r="AB7" s="986"/>
      <c r="AC7" s="986"/>
      <c r="AD7" s="986"/>
      <c r="AE7" s="986"/>
      <c r="AF7" s="986"/>
      <c r="AG7" s="986"/>
      <c r="AH7" s="986"/>
      <c r="AI7" s="986"/>
      <c r="AJ7" s="986"/>
      <c r="AK7" s="986"/>
      <c r="AL7" s="986"/>
      <c r="AM7" s="986"/>
      <c r="AN7" s="986"/>
      <c r="AO7" s="986"/>
      <c r="AP7" s="986"/>
      <c r="AQ7" s="986"/>
      <c r="AR7" s="986"/>
      <c r="AS7" s="986"/>
      <c r="AT7" s="986"/>
      <c r="AU7" s="986"/>
      <c r="AV7" s="986"/>
      <c r="AW7" s="986"/>
      <c r="AX7" s="986"/>
      <c r="AY7" s="986"/>
      <c r="AZ7" s="986"/>
      <c r="BA7" s="986"/>
      <c r="BB7" s="987"/>
    </row>
    <row r="8" s="978" customFormat="1" ht="18" customHeight="1">
      <c r="A8" t="s" s="998">
        <v>1003</v>
      </c>
      <c r="B8" s="999"/>
      <c r="C8" s="1000"/>
      <c r="D8" s="1000"/>
      <c r="E8" s="1000"/>
      <c r="F8" s="1000"/>
      <c r="G8" s="1001"/>
      <c r="H8" s="1002"/>
      <c r="I8" s="1002"/>
      <c r="J8" s="1002"/>
      <c r="K8" s="1002"/>
      <c r="L8" s="1002"/>
      <c r="M8" s="1003"/>
      <c r="N8" s="1002"/>
      <c r="O8" s="1002"/>
      <c r="P8" s="1002"/>
      <c r="Q8" s="1002"/>
      <c r="R8" s="1002"/>
      <c r="S8" s="1002"/>
      <c r="T8" s="1002"/>
      <c r="U8" s="1002"/>
      <c r="V8" s="1002"/>
      <c r="W8" s="1002"/>
      <c r="X8" s="1002"/>
      <c r="Y8" s="1002"/>
      <c r="Z8" s="1002"/>
      <c r="AA8" s="1002"/>
      <c r="AB8" s="1002"/>
      <c r="AC8" s="1002"/>
      <c r="AD8" s="1002"/>
      <c r="AE8" s="1002"/>
      <c r="AF8" s="1002"/>
      <c r="AG8" s="1002"/>
      <c r="AH8" s="1002"/>
      <c r="AI8" s="1002"/>
      <c r="AJ8" s="1002"/>
      <c r="AK8" s="1002"/>
      <c r="AL8" s="1002"/>
      <c r="AM8" s="1002"/>
      <c r="AN8" s="1002"/>
      <c r="AO8" s="1002"/>
      <c r="AP8" s="1002"/>
      <c r="AQ8" s="1002"/>
      <c r="AR8" s="1002"/>
      <c r="AS8" s="1002"/>
      <c r="AT8" s="1002"/>
      <c r="AU8" s="1002"/>
      <c r="AV8" s="1002"/>
      <c r="AW8" s="1002"/>
      <c r="AX8" s="1002"/>
      <c r="AY8" s="1002"/>
      <c r="AZ8" s="1002"/>
      <c r="BA8" s="1002"/>
      <c r="BB8" s="1004"/>
    </row>
    <row r="9" s="978" customFormat="1" ht="15.75" customHeight="1">
      <c r="A9" s="1005"/>
      <c r="B9" s="1005"/>
      <c r="C9" s="1006">
        <v>2018</v>
      </c>
      <c r="D9" s="1006">
        <v>2019</v>
      </c>
      <c r="E9" s="1006">
        <v>2020</v>
      </c>
      <c r="F9" s="1006">
        <f>F10-1</f>
        <v>2021</v>
      </c>
      <c r="G9" s="1006">
        <f>G10-1</f>
        <v>2022</v>
      </c>
      <c r="H9" s="1006">
        <f>H10-1</f>
        <v>2023</v>
      </c>
      <c r="I9" s="1006">
        <f>I10-1</f>
        <v>2024</v>
      </c>
      <c r="J9" s="1006">
        <f>J10-1</f>
        <v>2025</v>
      </c>
      <c r="K9" s="1006">
        <f>K10-1</f>
        <v>2026</v>
      </c>
      <c r="L9" s="1006">
        <f>L10-1</f>
        <v>2027</v>
      </c>
      <c r="M9" s="1006">
        <f>M10-1</f>
        <v>2028</v>
      </c>
      <c r="N9" s="1006">
        <f>N10-1</f>
        <v>2029</v>
      </c>
      <c r="O9" s="1006">
        <f>O10-1</f>
        <v>2030</v>
      </c>
      <c r="P9" s="1006">
        <f>P10-1</f>
        <v>2031</v>
      </c>
      <c r="Q9" s="1006">
        <f>Q10-1</f>
        <v>2032</v>
      </c>
      <c r="R9" s="1006">
        <f>R10-1</f>
        <v>2033</v>
      </c>
      <c r="S9" s="1006">
        <f>S10-1</f>
        <v>2034</v>
      </c>
      <c r="T9" s="1006">
        <f>T10-1</f>
        <v>2035</v>
      </c>
      <c r="U9" s="1006">
        <f>U10-1</f>
        <v>2036</v>
      </c>
      <c r="V9" s="1006">
        <f>V10-1</f>
        <v>2037</v>
      </c>
      <c r="W9" s="1006">
        <f>W10-1</f>
        <v>2038</v>
      </c>
      <c r="X9" s="1006">
        <f>X10-1</f>
        <v>2039</v>
      </c>
      <c r="Y9" s="1006">
        <f>Y10-1</f>
        <v>2040</v>
      </c>
      <c r="Z9" s="1006">
        <f>Z10-1</f>
        <v>2041</v>
      </c>
      <c r="AA9" s="1006">
        <f>AA10-1</f>
        <v>2042</v>
      </c>
      <c r="AB9" s="1006">
        <f>AB10-1</f>
        <v>2043</v>
      </c>
      <c r="AC9" s="1006">
        <f>AC10-1</f>
        <v>2044</v>
      </c>
      <c r="AD9" s="1006">
        <f>AD10-1</f>
        <v>2045</v>
      </c>
      <c r="AE9" s="1006">
        <f>AE10-1</f>
        <v>2046</v>
      </c>
      <c r="AF9" s="1006">
        <f>AF10-1</f>
        <v>2047</v>
      </c>
      <c r="AG9" s="1006">
        <f>AG10-1</f>
        <v>2048</v>
      </c>
      <c r="AH9" s="1006">
        <f>AH10-1</f>
        <v>2049</v>
      </c>
      <c r="AI9" s="1006">
        <f>AI10-1</f>
        <v>2050</v>
      </c>
      <c r="AJ9" s="1006">
        <f>AJ10-1</f>
        <v>2051</v>
      </c>
      <c r="AK9" s="1006">
        <f>AK10-1</f>
        <v>2052</v>
      </c>
      <c r="AL9" s="1006">
        <f>AL10-1</f>
        <v>2053</v>
      </c>
      <c r="AM9" s="1006">
        <f>AM10-1</f>
        <v>2054</v>
      </c>
      <c r="AN9" s="1006">
        <f>AN10-1</f>
        <v>2055</v>
      </c>
      <c r="AO9" s="1006">
        <f>AO10-1</f>
        <v>2056</v>
      </c>
      <c r="AP9" s="1006">
        <f>AP10-1</f>
        <v>2057</v>
      </c>
      <c r="AQ9" s="1006">
        <f>AQ10-1</f>
        <v>2058</v>
      </c>
      <c r="AR9" s="1006">
        <f>AR10-1</f>
        <v>2059</v>
      </c>
      <c r="AS9" s="1006">
        <f>AS10-1</f>
        <v>2060</v>
      </c>
      <c r="AT9" s="1006">
        <f>AT10-1</f>
        <v>2061</v>
      </c>
      <c r="AU9" s="1006">
        <f>AU10-1</f>
        <v>2062</v>
      </c>
      <c r="AV9" s="1006">
        <f>AV10-1</f>
        <v>2063</v>
      </c>
      <c r="AW9" s="1006">
        <f>AW10-1</f>
        <v>2064</v>
      </c>
      <c r="AX9" s="1006">
        <f>AX10-1</f>
        <v>2065</v>
      </c>
      <c r="AY9" s="1006">
        <f>AY10-1</f>
        <v>2066</v>
      </c>
      <c r="AZ9" s="1006">
        <f>AZ10-1</f>
        <v>2067</v>
      </c>
      <c r="BA9" s="1006">
        <f>BA10-1</f>
        <v>2068</v>
      </c>
      <c r="BB9" s="1006">
        <f>BB10-1</f>
        <v>2069</v>
      </c>
    </row>
    <row r="10" s="978" customFormat="1" ht="15.75" customHeight="1">
      <c r="A10" s="1007"/>
      <c r="B10" s="1007"/>
      <c r="C10" s="1008">
        <v>2019</v>
      </c>
      <c r="D10" s="1008">
        <v>2020</v>
      </c>
      <c r="E10" s="1009">
        <v>2021</v>
      </c>
      <c r="F10" s="1010">
        <f>E10+1</f>
        <v>2022</v>
      </c>
      <c r="G10" s="1010">
        <f>F10+1</f>
        <v>2023</v>
      </c>
      <c r="H10" s="1010">
        <f>G10+1</f>
        <v>2024</v>
      </c>
      <c r="I10" s="1010">
        <f>H10+1</f>
        <v>2025</v>
      </c>
      <c r="J10" s="1010">
        <f>I10+1</f>
        <v>2026</v>
      </c>
      <c r="K10" s="1010">
        <f>J10+1</f>
        <v>2027</v>
      </c>
      <c r="L10" s="1010">
        <f>K10+1</f>
        <v>2028</v>
      </c>
      <c r="M10" s="1010">
        <f>L10+1</f>
        <v>2029</v>
      </c>
      <c r="N10" s="1010">
        <f>M10+1</f>
        <v>2030</v>
      </c>
      <c r="O10" s="1010">
        <f>N10+1</f>
        <v>2031</v>
      </c>
      <c r="P10" s="1010">
        <f>O10+1</f>
        <v>2032</v>
      </c>
      <c r="Q10" s="1010">
        <f>P10+1</f>
        <v>2033</v>
      </c>
      <c r="R10" s="1010">
        <f>Q10+1</f>
        <v>2034</v>
      </c>
      <c r="S10" s="1010">
        <f>R10+1</f>
        <v>2035</v>
      </c>
      <c r="T10" s="1010">
        <f>S10+1</f>
        <v>2036</v>
      </c>
      <c r="U10" s="1010">
        <f>T10+1</f>
        <v>2037</v>
      </c>
      <c r="V10" s="1010">
        <f>U10+1</f>
        <v>2038</v>
      </c>
      <c r="W10" s="1010">
        <f>V10+1</f>
        <v>2039</v>
      </c>
      <c r="X10" s="1010">
        <f>W10+1</f>
        <v>2040</v>
      </c>
      <c r="Y10" s="1010">
        <f>X10+1</f>
        <v>2041</v>
      </c>
      <c r="Z10" s="1010">
        <f>Y10+1</f>
        <v>2042</v>
      </c>
      <c r="AA10" s="1010">
        <f>Z10+1</f>
        <v>2043</v>
      </c>
      <c r="AB10" s="1010">
        <f>AA10+1</f>
        <v>2044</v>
      </c>
      <c r="AC10" s="1010">
        <f>AB10+1</f>
        <v>2045</v>
      </c>
      <c r="AD10" s="1010">
        <f>AC10+1</f>
        <v>2046</v>
      </c>
      <c r="AE10" s="1010">
        <f>AD10+1</f>
        <v>2047</v>
      </c>
      <c r="AF10" s="1010">
        <f>AE10+1</f>
        <v>2048</v>
      </c>
      <c r="AG10" s="1010">
        <f>AF10+1</f>
        <v>2049</v>
      </c>
      <c r="AH10" s="1010">
        <f>AG10+1</f>
        <v>2050</v>
      </c>
      <c r="AI10" s="1010">
        <f>AH10+1</f>
        <v>2051</v>
      </c>
      <c r="AJ10" s="1010">
        <f>AI10+1</f>
        <v>2052</v>
      </c>
      <c r="AK10" s="1010">
        <f>AJ10+1</f>
        <v>2053</v>
      </c>
      <c r="AL10" s="1010">
        <f>AK10+1</f>
        <v>2054</v>
      </c>
      <c r="AM10" s="1010">
        <f>AL10+1</f>
        <v>2055</v>
      </c>
      <c r="AN10" s="1010">
        <f>AM10+1</f>
        <v>2056</v>
      </c>
      <c r="AO10" s="1010">
        <f>AN10+1</f>
        <v>2057</v>
      </c>
      <c r="AP10" s="1010">
        <f>AO10+1</f>
        <v>2058</v>
      </c>
      <c r="AQ10" s="1010">
        <f>AP10+1</f>
        <v>2059</v>
      </c>
      <c r="AR10" s="1010">
        <f>AQ10+1</f>
        <v>2060</v>
      </c>
      <c r="AS10" s="1010">
        <f>AR10+1</f>
        <v>2061</v>
      </c>
      <c r="AT10" s="1010">
        <f>AS10+1</f>
        <v>2062</v>
      </c>
      <c r="AU10" s="1010">
        <f>AT10+1</f>
        <v>2063</v>
      </c>
      <c r="AV10" s="1010">
        <f>AU10+1</f>
        <v>2064</v>
      </c>
      <c r="AW10" s="1010">
        <f>AV10+1</f>
        <v>2065</v>
      </c>
      <c r="AX10" s="1010">
        <f>AW10+1</f>
        <v>2066</v>
      </c>
      <c r="AY10" s="1010">
        <f>AX10+1</f>
        <v>2067</v>
      </c>
      <c r="AZ10" s="1010">
        <f>AY10+1</f>
        <v>2068</v>
      </c>
      <c r="BA10" s="1010">
        <f>AZ10+1</f>
        <v>2069</v>
      </c>
      <c r="BB10" s="1010">
        <f>BA10+1</f>
        <v>2070</v>
      </c>
    </row>
    <row r="11" s="1011" customFormat="1" ht="15.75" customHeight="1">
      <c r="A11" s="1012"/>
      <c r="B11" s="1012"/>
      <c r="C11" t="s" s="1008">
        <v>1004</v>
      </c>
      <c r="D11" t="s" s="1008">
        <v>826</v>
      </c>
      <c r="E11" t="s" s="1008">
        <v>1004</v>
      </c>
      <c r="F11" t="s" s="1008">
        <v>1004</v>
      </c>
      <c r="G11" t="s" s="1008">
        <v>1004</v>
      </c>
      <c r="H11" t="s" s="1008">
        <v>1004</v>
      </c>
      <c r="I11" t="s" s="1008">
        <v>1004</v>
      </c>
      <c r="J11" t="s" s="1008">
        <v>1004</v>
      </c>
      <c r="K11" t="s" s="1008">
        <v>1004</v>
      </c>
      <c r="L11" t="s" s="1008">
        <v>1004</v>
      </c>
      <c r="M11" t="s" s="1008">
        <v>1004</v>
      </c>
      <c r="N11" t="s" s="1008">
        <v>1004</v>
      </c>
      <c r="O11" t="s" s="1008">
        <v>1004</v>
      </c>
      <c r="P11" t="s" s="1008">
        <v>1004</v>
      </c>
      <c r="Q11" t="s" s="1008">
        <v>1004</v>
      </c>
      <c r="R11" t="s" s="1008">
        <v>1004</v>
      </c>
      <c r="S11" t="s" s="1008">
        <v>1004</v>
      </c>
      <c r="T11" t="s" s="1008">
        <v>1004</v>
      </c>
      <c r="U11" t="s" s="1008">
        <v>1004</v>
      </c>
      <c r="V11" t="s" s="1008">
        <v>1004</v>
      </c>
      <c r="W11" t="s" s="1008">
        <v>1004</v>
      </c>
      <c r="X11" t="s" s="1008">
        <v>1004</v>
      </c>
      <c r="Y11" t="s" s="1008">
        <v>1004</v>
      </c>
      <c r="Z11" t="s" s="1008">
        <v>1004</v>
      </c>
      <c r="AA11" t="s" s="1008">
        <v>1004</v>
      </c>
      <c r="AB11" t="s" s="1008">
        <v>1004</v>
      </c>
      <c r="AC11" t="s" s="1008">
        <v>1004</v>
      </c>
      <c r="AD11" t="s" s="1008">
        <v>1004</v>
      </c>
      <c r="AE11" t="s" s="1008">
        <v>1004</v>
      </c>
      <c r="AF11" t="s" s="1008">
        <v>1004</v>
      </c>
      <c r="AG11" t="s" s="1008">
        <v>1004</v>
      </c>
      <c r="AH11" t="s" s="1008">
        <v>1004</v>
      </c>
      <c r="AI11" t="s" s="1008">
        <v>1004</v>
      </c>
      <c r="AJ11" t="s" s="1008">
        <v>1004</v>
      </c>
      <c r="AK11" t="s" s="1008">
        <v>1004</v>
      </c>
      <c r="AL11" t="s" s="1008">
        <v>1004</v>
      </c>
      <c r="AM11" t="s" s="1008">
        <v>1004</v>
      </c>
      <c r="AN11" t="s" s="1008">
        <v>1004</v>
      </c>
      <c r="AO11" t="s" s="1008">
        <v>1004</v>
      </c>
      <c r="AP11" t="s" s="1008">
        <v>1004</v>
      </c>
      <c r="AQ11" t="s" s="1008">
        <v>1004</v>
      </c>
      <c r="AR11" t="s" s="1008">
        <v>1004</v>
      </c>
      <c r="AS11" t="s" s="1008">
        <v>1004</v>
      </c>
      <c r="AT11" t="s" s="1008">
        <v>1004</v>
      </c>
      <c r="AU11" t="s" s="1008">
        <v>1004</v>
      </c>
      <c r="AV11" t="s" s="1008">
        <v>1004</v>
      </c>
      <c r="AW11" t="s" s="1008">
        <v>1004</v>
      </c>
      <c r="AX11" t="s" s="1008">
        <v>1004</v>
      </c>
      <c r="AY11" t="s" s="1008">
        <v>1004</v>
      </c>
      <c r="AZ11" t="s" s="1008">
        <v>1004</v>
      </c>
      <c r="BA11" t="s" s="1008">
        <v>1004</v>
      </c>
      <c r="BB11" t="s" s="1008">
        <v>1004</v>
      </c>
    </row>
    <row r="12" s="1011" customFormat="1" ht="15.75" customHeight="1">
      <c r="A12" s="1013"/>
      <c r="B12" s="1013"/>
      <c r="C12" s="1014">
        <v>0</v>
      </c>
      <c r="D12" s="1014">
        <v>0</v>
      </c>
      <c r="E12" s="1014">
        <f>C12+1</f>
        <v>1</v>
      </c>
      <c r="F12" s="1014">
        <f>E12+1</f>
        <v>2</v>
      </c>
      <c r="G12" s="1014">
        <f>F12+1</f>
        <v>3</v>
      </c>
      <c r="H12" s="1014">
        <f>G12+1</f>
        <v>4</v>
      </c>
      <c r="I12" s="1014">
        <f>H12+1</f>
        <v>5</v>
      </c>
      <c r="J12" s="1014">
        <f>I12+1</f>
        <v>6</v>
      </c>
      <c r="K12" s="1014">
        <f>J12+1</f>
        <v>7</v>
      </c>
      <c r="L12" s="1014">
        <f>K12+1</f>
        <v>8</v>
      </c>
      <c r="M12" s="1014">
        <f>L12+1</f>
        <v>9</v>
      </c>
      <c r="N12" s="1014">
        <f>M12+1</f>
        <v>10</v>
      </c>
      <c r="O12" s="1014">
        <f>N12+1</f>
        <v>11</v>
      </c>
      <c r="P12" s="1014">
        <f>O12+1</f>
        <v>12</v>
      </c>
      <c r="Q12" s="1014">
        <f>P12+1</f>
        <v>13</v>
      </c>
      <c r="R12" s="1014">
        <f>Q12+1</f>
        <v>14</v>
      </c>
      <c r="S12" s="1014">
        <f>R12+1</f>
        <v>15</v>
      </c>
      <c r="T12" s="1014">
        <f>S12+1</f>
        <v>16</v>
      </c>
      <c r="U12" s="1014">
        <f>T12+1</f>
        <v>17</v>
      </c>
      <c r="V12" s="1014">
        <f>U12+1</f>
        <v>18</v>
      </c>
      <c r="W12" s="1014">
        <f>V12+1</f>
        <v>19</v>
      </c>
      <c r="X12" s="1014">
        <f>W12+1</f>
        <v>20</v>
      </c>
      <c r="Y12" s="1014">
        <f>X12+1</f>
        <v>21</v>
      </c>
      <c r="Z12" s="1014">
        <f>Y12+1</f>
        <v>22</v>
      </c>
      <c r="AA12" s="1014">
        <f>Z12+1</f>
        <v>23</v>
      </c>
      <c r="AB12" s="1014">
        <f>AA12+1</f>
        <v>24</v>
      </c>
      <c r="AC12" s="1014">
        <f>AB12+1</f>
        <v>25</v>
      </c>
      <c r="AD12" s="1014">
        <f>AC12+1</f>
        <v>26</v>
      </c>
      <c r="AE12" s="1014">
        <f>AD12+1</f>
        <v>27</v>
      </c>
      <c r="AF12" s="1014">
        <f>AE12+1</f>
        <v>28</v>
      </c>
      <c r="AG12" s="1014">
        <f>AF12+1</f>
        <v>29</v>
      </c>
      <c r="AH12" s="1014">
        <f>AG12+1</f>
        <v>30</v>
      </c>
      <c r="AI12" s="1014">
        <f>AH12+1</f>
        <v>31</v>
      </c>
      <c r="AJ12" s="1014">
        <f>AI12+1</f>
        <v>32</v>
      </c>
      <c r="AK12" s="1014">
        <f>AJ12+1</f>
        <v>33</v>
      </c>
      <c r="AL12" s="1014">
        <f>AK12+1</f>
        <v>34</v>
      </c>
      <c r="AM12" s="1014">
        <f>AL12+1</f>
        <v>35</v>
      </c>
      <c r="AN12" s="1014">
        <f>AM12+1</f>
        <v>36</v>
      </c>
      <c r="AO12" s="1014">
        <f>AN12+1</f>
        <v>37</v>
      </c>
      <c r="AP12" s="1014">
        <f>AO12+1</f>
        <v>38</v>
      </c>
      <c r="AQ12" s="1014">
        <f>AP12+1</f>
        <v>39</v>
      </c>
      <c r="AR12" s="1014">
        <f>AQ12+1</f>
        <v>40</v>
      </c>
      <c r="AS12" s="1014">
        <f>AR12+1</f>
        <v>41</v>
      </c>
      <c r="AT12" s="1014">
        <f>AS12+1</f>
        <v>42</v>
      </c>
      <c r="AU12" s="1014">
        <f>AT12+1</f>
        <v>43</v>
      </c>
      <c r="AV12" s="1014">
        <f>AU12+1</f>
        <v>44</v>
      </c>
      <c r="AW12" s="1014">
        <f>AV12+1</f>
        <v>45</v>
      </c>
      <c r="AX12" s="1014">
        <f>AW12+1</f>
        <v>46</v>
      </c>
      <c r="AY12" s="1014">
        <f>AX12+1</f>
        <v>47</v>
      </c>
      <c r="AZ12" s="1014">
        <f>AY12+1</f>
        <v>48</v>
      </c>
      <c r="BA12" s="1014">
        <f>AZ12+1</f>
        <v>49</v>
      </c>
      <c r="BB12" s="1014">
        <f>BA12+1</f>
        <v>50</v>
      </c>
    </row>
    <row r="13" s="978" customFormat="1" ht="15.75" customHeight="1">
      <c r="A13" t="s" s="1015">
        <v>1005</v>
      </c>
      <c r="B13" s="1016"/>
      <c r="C13" s="1017"/>
      <c r="D13" s="1017"/>
      <c r="E13" s="1017"/>
      <c r="F13" s="1017"/>
      <c r="G13" s="1017"/>
      <c r="H13" s="1017"/>
      <c r="I13" s="1017"/>
      <c r="J13" s="1017"/>
      <c r="K13" s="1017"/>
      <c r="L13" s="1017"/>
      <c r="M13" s="1017"/>
      <c r="N13" s="1017"/>
      <c r="O13" s="1017"/>
      <c r="P13" s="1017"/>
      <c r="Q13" s="1017"/>
      <c r="R13" s="1017"/>
      <c r="S13" s="1017"/>
      <c r="T13" s="1017"/>
      <c r="U13" s="1017"/>
      <c r="V13" s="1017"/>
      <c r="W13" s="1017"/>
      <c r="X13" s="1017"/>
      <c r="Y13" s="1017"/>
      <c r="Z13" s="1017"/>
      <c r="AA13" s="1017"/>
      <c r="AB13" s="1017"/>
      <c r="AC13" s="1017"/>
      <c r="AD13" s="1017"/>
      <c r="AE13" s="1017"/>
      <c r="AF13" s="1017"/>
      <c r="AG13" s="1017"/>
      <c r="AH13" s="1017"/>
      <c r="AI13" s="1017"/>
      <c r="AJ13" s="1017"/>
      <c r="AK13" s="1017"/>
      <c r="AL13" s="1017"/>
      <c r="AM13" s="1017"/>
      <c r="AN13" s="1017"/>
      <c r="AO13" s="1017"/>
      <c r="AP13" s="1017"/>
      <c r="AQ13" s="1017"/>
      <c r="AR13" s="1017"/>
      <c r="AS13" s="1017"/>
      <c r="AT13" s="1017"/>
      <c r="AU13" s="1017"/>
      <c r="AV13" s="1017"/>
      <c r="AW13" s="1017"/>
      <c r="AX13" s="1017"/>
      <c r="AY13" s="1017"/>
      <c r="AZ13" s="1017"/>
      <c r="BA13" s="1017"/>
      <c r="BB13" s="1017"/>
    </row>
    <row r="14" s="978" customFormat="1" ht="17" customHeight="1">
      <c r="A14" t="s" s="1018">
        <v>1006</v>
      </c>
      <c r="B14" s="1007"/>
      <c r="C14" s="1019"/>
      <c r="D14" s="1019"/>
      <c r="E14" s="1019">
        <f>('Social Rent'!AL37+'Shared Ownership'!AG11+'Market Rent'!AF39+'Affordable Rent'!AH39)/12*E5</f>
        <v>32933.333333333336</v>
      </c>
      <c r="F14" s="1019">
        <f>'Social Rent'!AZ28+'Shared Ownership'!DB1+'Market Rent'!AV28+'Affordable Rent'!AX28</f>
        <v>40705.6</v>
      </c>
      <c r="G14" s="1019">
        <f>'Social Rent'!BA28+'Shared Ownership'!DC1+'Market Rent'!AW28+'Affordable Rent'!AY28</f>
        <v>41926.768</v>
      </c>
      <c r="H14" s="1019">
        <f>'Social Rent'!BB28+'Shared Ownership'!DD1+'Market Rent'!AX28+'Affordable Rent'!AZ28</f>
        <v>43184.57104</v>
      </c>
      <c r="I14" s="1019">
        <f>'Social Rent'!BC28+'Shared Ownership'!DE1+'Market Rent'!AY28+'Affordable Rent'!BA28</f>
        <v>44480.108171199994</v>
      </c>
      <c r="J14" s="1019">
        <f>'Social Rent'!BD28+'Shared Ownership'!DF1+'Market Rent'!AZ28+'Affordable Rent'!BB28</f>
        <v>45814.511416336</v>
      </c>
      <c r="K14" s="1019">
        <f>'Social Rent'!BE28+'Shared Ownership'!DG1+'Market Rent'!BA28+'Affordable Rent'!BC28</f>
        <v>47188.946758826081</v>
      </c>
      <c r="L14" s="1019">
        <f>'Social Rent'!BF28+'Shared Ownership'!DH1+'Market Rent'!BB28+'Affordable Rent'!BD28</f>
        <v>48604.615161590868</v>
      </c>
      <c r="M14" s="1019">
        <f>'Social Rent'!BG28+'Shared Ownership'!DI1+'Market Rent'!BC28+'Affordable Rent'!BE28</f>
        <v>50062.7536164386</v>
      </c>
      <c r="N14" s="1019">
        <f>'Social Rent'!BH28+'Shared Ownership'!DJ1+'Market Rent'!BD28+'Affordable Rent'!BF28</f>
        <v>51564.636224931754</v>
      </c>
      <c r="O14" s="1019">
        <f>'Social Rent'!BI28+'Shared Ownership'!DK1+'Market Rent'!BE28+'Affordable Rent'!BG28</f>
        <v>53111.575311679706</v>
      </c>
      <c r="P14" s="1019">
        <f>'Social Rent'!BJ28+'Shared Ownership'!DL1+'Market Rent'!BF28+'Affordable Rent'!BH28</f>
        <v>54704.9225710301</v>
      </c>
      <c r="Q14" s="1019">
        <f>'Social Rent'!BK28+'Shared Ownership'!DM1+'Market Rent'!BG28+'Affordable Rent'!BI28</f>
        <v>56346.070248161</v>
      </c>
      <c r="R14" s="1019">
        <f>'Social Rent'!BL28+'Shared Ownership'!DN1+'Market Rent'!BH28+'Affordable Rent'!BJ28</f>
        <v>58036.452355605827</v>
      </c>
      <c r="S14" s="1019">
        <f>'Social Rent'!BM28+'Shared Ownership'!DO1+'Market Rent'!BI28+'Affordable Rent'!BK28</f>
        <v>59777.545926274</v>
      </c>
      <c r="T14" s="1019">
        <f>'Social Rent'!BN28+'Shared Ownership'!DP1+'Market Rent'!BJ28+'Affordable Rent'!BL28</f>
        <v>61570.872304062228</v>
      </c>
      <c r="U14" s="1019">
        <f>'Social Rent'!BO28+'Shared Ownership'!DQ1+'Market Rent'!BK28+'Affordable Rent'!BM28</f>
        <v>63417.9984731841</v>
      </c>
      <c r="V14" s="1019">
        <f>'Social Rent'!BP28+'Shared Ownership'!DR1+'Market Rent'!BL28+'Affordable Rent'!BN28</f>
        <v>65320.538427379623</v>
      </c>
      <c r="W14" s="1019">
        <f>'Social Rent'!BQ28+'Shared Ownership'!DS1+'Market Rent'!BM28+'Affordable Rent'!BO28</f>
        <v>67280.154580201008</v>
      </c>
      <c r="X14" s="1019">
        <f>'Social Rent'!BR28+'Shared Ownership'!DT1+'Market Rent'!BN28+'Affordable Rent'!BP28</f>
        <v>69298.559217607035</v>
      </c>
      <c r="Y14" s="1019">
        <f>'Social Rent'!BS28+'Shared Ownership'!DU1+'Market Rent'!BO28+'Affordable Rent'!BQ28</f>
        <v>71377.515994135247</v>
      </c>
      <c r="Z14" s="1019">
        <f>'Social Rent'!BT28+'Shared Ownership'!DV1+'Market Rent'!BP28+'Affordable Rent'!BR28</f>
        <v>73518.8414739593</v>
      </c>
      <c r="AA14" s="1019">
        <f>'Social Rent'!BU28+'Shared Ownership'!DW1+'Market Rent'!BQ28+'Affordable Rent'!BS28</f>
        <v>75724.406718178085</v>
      </c>
      <c r="AB14" s="1019">
        <f>'Social Rent'!BV28+'Shared Ownership'!DX1+'Market Rent'!BR28+'Affordable Rent'!BT28</f>
        <v>77996.138919723424</v>
      </c>
      <c r="AC14" s="1019">
        <f>'Social Rent'!BW28+'Shared Ownership'!DY1+'Market Rent'!BS28+'Affordable Rent'!BU28</f>
        <v>80336.023087315130</v>
      </c>
      <c r="AD14" s="1019">
        <f>'Social Rent'!BX28+'Shared Ownership'!DZ1+'Market Rent'!BT28+'Affordable Rent'!BV28</f>
        <v>82746.103779934580</v>
      </c>
      <c r="AE14" s="1019">
        <f>'Social Rent'!BY28+'Shared Ownership'!EA1+'Market Rent'!BU28+'Affordable Rent'!BW28</f>
        <v>85228.486893332622</v>
      </c>
      <c r="AF14" s="1019">
        <f>'Social Rent'!BZ28+'Shared Ownership'!EB1+'Market Rent'!BV28+'Affordable Rent'!BX28</f>
        <v>87785.341500132607</v>
      </c>
      <c r="AG14" s="1019">
        <f>'Social Rent'!CA28+'Shared Ownership'!EC1+'Market Rent'!BW28+'Affordable Rent'!BY28</f>
        <v>90418.901745136594</v>
      </c>
      <c r="AH14" s="1019">
        <f>'Social Rent'!CB28+'Shared Ownership'!ED1+'Market Rent'!BX28+'Affordable Rent'!BZ28</f>
        <v>93131.4687974907</v>
      </c>
      <c r="AI14" s="1019">
        <f>'Social Rent'!CC28+'Shared Ownership'!EE1+'Market Rent'!BY28+'Affordable Rent'!CA28</f>
        <v>95925.412861415418</v>
      </c>
      <c r="AJ14" s="1019">
        <f>'Social Rent'!CD28+'Shared Ownership'!EF1+'Market Rent'!BZ28+'Affordable Rent'!CB28</f>
        <v>98803.175247257881</v>
      </c>
      <c r="AK14" s="1019">
        <f>'Social Rent'!CE28+'Shared Ownership'!EG1+'Market Rent'!CA28+'Affordable Rent'!CC28</f>
        <v>101767.2705046756</v>
      </c>
      <c r="AL14" s="1019">
        <f>'Social Rent'!CF28+'Shared Ownership'!EH1+'Market Rent'!CB28+'Affordable Rent'!CD28</f>
        <v>104820.2886198159</v>
      </c>
      <c r="AM14" s="1019">
        <f>'Social Rent'!CG28+'Shared Ownership'!EI1+'Market Rent'!CC28+'Affordable Rent'!CE28</f>
        <v>107964.8972784104</v>
      </c>
      <c r="AN14" s="1019">
        <f>'Social Rent'!CH28+'Shared Ownership'!EJ1+'Market Rent'!CD28+'Affordable Rent'!CF28</f>
        <v>111203.8441967627</v>
      </c>
      <c r="AO14" s="1019">
        <f>'Social Rent'!CI28+'Shared Ownership'!EK1+'Market Rent'!CE28+'Affordable Rent'!CG28</f>
        <v>114539.9595226656</v>
      </c>
      <c r="AP14" s="1019">
        <f>'Social Rent'!CJ28+'Shared Ownership'!EL1+'Market Rent'!CF28+'Affordable Rent'!CH28</f>
        <v>117976.1583083455</v>
      </c>
      <c r="AQ14" s="1019">
        <f>'Social Rent'!CK28+'Shared Ownership'!EM1+'Market Rent'!CG28+'Affordable Rent'!CI28</f>
        <v>121515.4430575959</v>
      </c>
      <c r="AR14" s="1019">
        <f>'Social Rent'!CL28+'Shared Ownership'!EN1+'Market Rent'!CH28+'Affordable Rent'!CJ28</f>
        <v>125160.9063493238</v>
      </c>
      <c r="AS14" s="1019">
        <f>'Social Rent'!CM28+'Shared Ownership'!EO1+'Market Rent'!CI28+'Affordable Rent'!CK28</f>
        <v>128915.7335398035</v>
      </c>
      <c r="AT14" s="1019">
        <f>'Social Rent'!CN28+'Shared Ownership'!EP1+'Market Rent'!CJ28+'Affordable Rent'!CL28</f>
        <v>132783.2055459976</v>
      </c>
      <c r="AU14" s="1019">
        <f>'Social Rent'!CO28+'Shared Ownership'!EQ1+'Market Rent'!CK28+'Affordable Rent'!CM28</f>
        <v>136766.7017123775</v>
      </c>
      <c r="AV14" s="1019">
        <f>'Social Rent'!CP28+'Shared Ownership'!ER1+'Market Rent'!CL28+'Affordable Rent'!CN28</f>
        <v>140869.7027637488</v>
      </c>
      <c r="AW14" s="1019">
        <f>'Social Rent'!CQ28+'Shared Ownership'!ES1+'Market Rent'!CM28+'Affordable Rent'!CO28</f>
        <v>145095.7938466613</v>
      </c>
      <c r="AX14" s="1019">
        <f>'Social Rent'!CR28+'Shared Ownership'!ET1+'Market Rent'!CN28+'Affordable Rent'!CP28</f>
        <v>149448.6676620612</v>
      </c>
      <c r="AY14" s="1019">
        <f>'Social Rent'!CS28+'Shared Ownership'!EU1+'Market Rent'!CO28+'Affordable Rent'!CQ28</f>
        <v>153932.127691923</v>
      </c>
      <c r="AZ14" s="1019">
        <f>'Social Rent'!CT28+'Shared Ownership'!EV1+'Market Rent'!CP28+'Affordable Rent'!CR28</f>
        <v>158550.0915226807</v>
      </c>
      <c r="BA14" s="1019">
        <f>'Social Rent'!CU28+'Shared Ownership'!EW1+'Market Rent'!CQ28+'Affordable Rent'!CS28</f>
        <v>163306.5942683611</v>
      </c>
      <c r="BB14" s="1019">
        <f>'Social Rent'!CV28+'Shared Ownership'!EX1+'Market Rent'!CR28+'Affordable Rent'!CT28</f>
        <v>168205.792096412</v>
      </c>
    </row>
    <row r="15" s="978" customFormat="1" ht="17" customHeight="1">
      <c r="A15" t="s" s="1018">
        <v>175</v>
      </c>
      <c r="B15" s="1007"/>
      <c r="C15" s="1019"/>
      <c r="D15" s="1019"/>
      <c r="E15" s="1019">
        <f>('Social Rent'!AM37+'Market Rent'!AG39+'Affordable Rent'!AI39)/12*E5</f>
        <v>-658.3333333333333</v>
      </c>
      <c r="F15" s="1019">
        <f>'Social Rent'!AZ29+'Shared Ownership'!DB5+'Market Rent'!AV29+'Affordable Rent'!AX29</f>
        <v>-814</v>
      </c>
      <c r="G15" s="1019">
        <f>'Social Rent'!BA29+'Shared Ownership'!DC5+'Market Rent'!AW29+'Affordable Rent'!AY29</f>
        <v>-839</v>
      </c>
      <c r="H15" s="1019">
        <f>'Social Rent'!BB29+'Shared Ownership'!DD5+'Market Rent'!AX29+'Affordable Rent'!AZ29</f>
        <v>-864</v>
      </c>
      <c r="I15" s="1019">
        <f>'Social Rent'!BC29+'Shared Ownership'!DE5+'Market Rent'!AY29+'Affordable Rent'!BA29</f>
        <v>-890</v>
      </c>
      <c r="J15" s="1019">
        <f>'Social Rent'!BD29+'Shared Ownership'!DF5+'Market Rent'!AZ29+'Affordable Rent'!BB29</f>
        <v>-916</v>
      </c>
      <c r="K15" s="1019">
        <f>'Social Rent'!BE29+'Shared Ownership'!DG5+'Market Rent'!BA29+'Affordable Rent'!BC29</f>
        <v>-944</v>
      </c>
      <c r="L15" s="1019">
        <f>'Social Rent'!BF29+'Shared Ownership'!DH5+'Market Rent'!BB29+'Affordable Rent'!BD29</f>
        <v>-972</v>
      </c>
      <c r="M15" s="1019">
        <f>'Social Rent'!BG29+'Shared Ownership'!DI5+'Market Rent'!BC29+'Affordable Rent'!BE29</f>
        <v>-1001</v>
      </c>
      <c r="N15" s="1019">
        <f>'Social Rent'!BH29+'Shared Ownership'!DJ5+'Market Rent'!BD29+'Affordable Rent'!BF29</f>
        <v>-1031</v>
      </c>
      <c r="O15" s="1019">
        <f>'Social Rent'!BI29+'Shared Ownership'!DK5+'Market Rent'!BE29+'Affordable Rent'!BG29</f>
        <v>-1062</v>
      </c>
      <c r="P15" s="1019">
        <f>'Social Rent'!BJ29+'Shared Ownership'!DL5+'Market Rent'!BF29+'Affordable Rent'!BH29</f>
        <v>-1094</v>
      </c>
      <c r="Q15" s="1019">
        <f>'Social Rent'!BK29+'Shared Ownership'!DM5+'Market Rent'!BG29+'Affordable Rent'!BI29</f>
        <v>-1127</v>
      </c>
      <c r="R15" s="1019">
        <f>'Social Rent'!BL29+'Shared Ownership'!DN5+'Market Rent'!BH29+'Affordable Rent'!BJ29</f>
        <v>-1161</v>
      </c>
      <c r="S15" s="1019">
        <f>'Social Rent'!BM29+'Shared Ownership'!DO5+'Market Rent'!BI29+'Affordable Rent'!BK29</f>
        <v>-1196</v>
      </c>
      <c r="T15" s="1019">
        <f>'Social Rent'!BN29+'Shared Ownership'!DP5+'Market Rent'!BJ29+'Affordable Rent'!BL29</f>
        <v>-1231</v>
      </c>
      <c r="U15" s="1019">
        <f>'Social Rent'!BO29+'Shared Ownership'!DQ5+'Market Rent'!BK29+'Affordable Rent'!BM29</f>
        <v>-1268</v>
      </c>
      <c r="V15" s="1019">
        <f>'Social Rent'!BP29+'Shared Ownership'!DR5+'Market Rent'!BL29+'Affordable Rent'!BN29</f>
        <v>-1306</v>
      </c>
      <c r="W15" s="1019">
        <f>'Social Rent'!BQ29+'Shared Ownership'!DS5+'Market Rent'!BM29+'Affordable Rent'!BO29</f>
        <v>-1346</v>
      </c>
      <c r="X15" s="1019">
        <f>'Social Rent'!BR29+'Shared Ownership'!DT5+'Market Rent'!BN29+'Affordable Rent'!BP29</f>
        <v>-1386</v>
      </c>
      <c r="Y15" s="1019">
        <f>'Social Rent'!BS29+'Shared Ownership'!DU5+'Market Rent'!BO29+'Affordable Rent'!BQ29</f>
        <v>-1428</v>
      </c>
      <c r="Z15" s="1019">
        <f>'Social Rent'!BT29+'Shared Ownership'!DV5+'Market Rent'!BP29+'Affordable Rent'!BR29</f>
        <v>-1470</v>
      </c>
      <c r="AA15" s="1019">
        <f>'Social Rent'!BU29+'Shared Ownership'!DW5+'Market Rent'!BQ29+'Affordable Rent'!BS29</f>
        <v>-1514</v>
      </c>
      <c r="AB15" s="1019">
        <f>'Social Rent'!BV29+'Shared Ownership'!DX5+'Market Rent'!BR29+'Affordable Rent'!BT29</f>
        <v>-1560</v>
      </c>
      <c r="AC15" s="1019">
        <f>'Social Rent'!BW29+'Shared Ownership'!DY5+'Market Rent'!BS29+'Affordable Rent'!BU29</f>
        <v>-1607</v>
      </c>
      <c r="AD15" s="1019">
        <f>'Social Rent'!BX29+'Shared Ownership'!DZ5+'Market Rent'!BT29+'Affordable Rent'!BV29</f>
        <v>-1655</v>
      </c>
      <c r="AE15" s="1019">
        <f>'Social Rent'!BY29+'Shared Ownership'!EA5+'Market Rent'!BU29+'Affordable Rent'!BW29</f>
        <v>-1705</v>
      </c>
      <c r="AF15" s="1019">
        <f>'Social Rent'!BZ29+'Shared Ownership'!EB5+'Market Rent'!BV29+'Affordable Rent'!BX29</f>
        <v>-1756</v>
      </c>
      <c r="AG15" s="1019">
        <f>'Social Rent'!CA29+'Shared Ownership'!EC5+'Market Rent'!BW29+'Affordable Rent'!BY29</f>
        <v>-1808</v>
      </c>
      <c r="AH15" s="1019">
        <f>'Social Rent'!CB29+'Shared Ownership'!ED5+'Market Rent'!BX29+'Affordable Rent'!BZ29</f>
        <v>-1863</v>
      </c>
      <c r="AI15" s="1019">
        <f>'Social Rent'!CC29+'Shared Ownership'!EE5+'Market Rent'!BY29+'Affordable Rent'!CA29</f>
        <v>-1919</v>
      </c>
      <c r="AJ15" s="1019">
        <f>'Social Rent'!CD29+'Shared Ownership'!EF5+'Market Rent'!BZ29+'Affordable Rent'!CB29</f>
        <v>-1976</v>
      </c>
      <c r="AK15" s="1019">
        <f>'Social Rent'!CE29+'Shared Ownership'!EG5+'Market Rent'!CA29+'Affordable Rent'!CC29</f>
        <v>-2035</v>
      </c>
      <c r="AL15" s="1019">
        <f>'Social Rent'!CF29+'Shared Ownership'!EH5+'Market Rent'!CB29+'Affordable Rent'!CD29</f>
        <v>-2096</v>
      </c>
      <c r="AM15" s="1019">
        <f>'Social Rent'!CG29+'Shared Ownership'!EI5+'Market Rent'!CC29+'Affordable Rent'!CE29</f>
        <v>-2159</v>
      </c>
      <c r="AN15" s="1019">
        <f>'Social Rent'!CH29+'Shared Ownership'!EJ5+'Market Rent'!CD29+'Affordable Rent'!CF29</f>
        <v>-2224</v>
      </c>
      <c r="AO15" s="1019">
        <f>'Social Rent'!CI29+'Shared Ownership'!EK5+'Market Rent'!CE29+'Affordable Rent'!CG29</f>
        <v>-2291</v>
      </c>
      <c r="AP15" s="1019">
        <f>'Social Rent'!CJ29+'Shared Ownership'!EL5+'Market Rent'!CF29+'Affordable Rent'!CH29</f>
        <v>-2360</v>
      </c>
      <c r="AQ15" s="1019">
        <f>'Social Rent'!CK29+'Shared Ownership'!EM5+'Market Rent'!CG29+'Affordable Rent'!CI29</f>
        <v>-2430</v>
      </c>
      <c r="AR15" s="1019">
        <f>'Social Rent'!CL29+'Shared Ownership'!EN5+'Market Rent'!CH29+'Affordable Rent'!CJ29</f>
        <v>-2503</v>
      </c>
      <c r="AS15" s="1019">
        <f>'Social Rent'!CM29+'Shared Ownership'!EO5+'Market Rent'!CI29+'Affordable Rent'!CK29</f>
        <v>-2578</v>
      </c>
      <c r="AT15" s="1019">
        <f>'Social Rent'!CN29+'Shared Ownership'!EP5+'Market Rent'!CJ29+'Affordable Rent'!CL29</f>
        <v>-2656</v>
      </c>
      <c r="AU15" s="1019">
        <f>'Social Rent'!CO29+'Shared Ownership'!EQ5+'Market Rent'!CK29+'Affordable Rent'!CM29</f>
        <v>-2735</v>
      </c>
      <c r="AV15" s="1019">
        <f>'Social Rent'!CP29+'Shared Ownership'!ER5+'Market Rent'!CL29+'Affordable Rent'!CN29</f>
        <v>-2817</v>
      </c>
      <c r="AW15" s="1019">
        <f>'Social Rent'!CQ29+'Shared Ownership'!ES5+'Market Rent'!CM29+'Affordable Rent'!CO29</f>
        <v>-2902</v>
      </c>
      <c r="AX15" s="1019">
        <f>'Social Rent'!CR29+'Shared Ownership'!ET5+'Market Rent'!CN29+'Affordable Rent'!CP29</f>
        <v>-2989</v>
      </c>
      <c r="AY15" s="1019">
        <f>'Social Rent'!CS29+'Shared Ownership'!EU5+'Market Rent'!CO29+'Affordable Rent'!CQ29</f>
        <v>-3079</v>
      </c>
      <c r="AZ15" s="1019">
        <f>'Social Rent'!CT29+'Shared Ownership'!EV5+'Market Rent'!CP29+'Affordable Rent'!CR29</f>
        <v>-3171</v>
      </c>
      <c r="BA15" s="1019">
        <f>'Social Rent'!CU29+'Shared Ownership'!EW5+'Market Rent'!CQ29+'Affordable Rent'!CS29</f>
        <v>-3266</v>
      </c>
      <c r="BB15" s="1019">
        <f>'Social Rent'!CV29+'Shared Ownership'!EX5+'Market Rent'!CR29+'Affordable Rent'!CT29</f>
        <v>-3364</v>
      </c>
    </row>
    <row r="16" s="978" customFormat="1" ht="17" customHeight="1">
      <c r="A16" t="s" s="1018">
        <v>1007</v>
      </c>
      <c r="B16" s="1007"/>
      <c r="C16" s="1020">
        <v>0</v>
      </c>
      <c r="D16" s="1020">
        <v>0</v>
      </c>
      <c r="E16" s="1020">
        <v>0</v>
      </c>
      <c r="F16" s="1019"/>
      <c r="G16" s="1019"/>
      <c r="H16" s="1019"/>
      <c r="I16" s="1019"/>
      <c r="J16" s="1019"/>
      <c r="K16" s="1019"/>
      <c r="L16" s="1019"/>
      <c r="M16" s="1019"/>
      <c r="N16" s="1019"/>
      <c r="O16" s="1019"/>
      <c r="P16" s="1019"/>
      <c r="Q16" s="1019"/>
      <c r="R16" s="1019"/>
      <c r="S16" s="1019"/>
      <c r="T16" s="1019"/>
      <c r="U16" s="1019"/>
      <c r="V16" s="1019"/>
      <c r="W16" s="1019"/>
      <c r="X16" s="1019"/>
      <c r="Y16" s="1019"/>
      <c r="Z16" s="1019"/>
      <c r="AA16" s="1019"/>
      <c r="AB16" s="1019"/>
      <c r="AC16" s="1019"/>
      <c r="AD16" s="1019"/>
      <c r="AE16" s="1019"/>
      <c r="AF16" s="1019"/>
      <c r="AG16" s="1019"/>
      <c r="AH16" s="1019"/>
      <c r="AI16" s="1019"/>
      <c r="AJ16" s="1019"/>
      <c r="AK16" s="1019"/>
      <c r="AL16" s="1019"/>
      <c r="AM16" s="1019"/>
      <c r="AN16" s="1019"/>
      <c r="AO16" s="1019"/>
      <c r="AP16" s="1019"/>
      <c r="AQ16" s="1019"/>
      <c r="AR16" s="1019"/>
      <c r="AS16" s="1019"/>
      <c r="AT16" s="1019"/>
      <c r="AU16" s="1019"/>
      <c r="AV16" s="1019"/>
      <c r="AW16" s="1019"/>
      <c r="AX16" s="1019"/>
      <c r="AY16" s="1019"/>
      <c r="AZ16" s="1019"/>
      <c r="BA16" s="1019"/>
      <c r="BB16" s="1019"/>
    </row>
    <row r="17" s="978" customFormat="1" ht="17" customHeight="1">
      <c r="A17" t="s" s="1018">
        <v>1008</v>
      </c>
      <c r="B17" s="1007"/>
      <c r="C17" s="1019">
        <v>0</v>
      </c>
      <c r="D17" s="1019">
        <v>125000</v>
      </c>
      <c r="E17" s="1019">
        <v>0</v>
      </c>
      <c r="F17" s="1019"/>
      <c r="G17" s="1019"/>
      <c r="H17" s="1019"/>
      <c r="I17" s="1019"/>
      <c r="J17" s="1019"/>
      <c r="K17" s="1019"/>
      <c r="L17" s="1019"/>
      <c r="M17" s="1019"/>
      <c r="N17" s="1019"/>
      <c r="O17" s="1019"/>
      <c r="P17" s="1019"/>
      <c r="Q17" s="1019"/>
      <c r="R17" s="1019"/>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1019"/>
      <c r="AS17" s="1019"/>
      <c r="AT17" s="1019"/>
      <c r="AU17" s="1019"/>
      <c r="AV17" s="1019"/>
      <c r="AW17" s="1019"/>
      <c r="AX17" s="1019"/>
      <c r="AY17" s="1019"/>
      <c r="AZ17" s="1019"/>
      <c r="BA17" s="1019"/>
      <c r="BB17" s="1019"/>
    </row>
    <row r="18" s="978" customFormat="1" ht="17" customHeight="1">
      <c r="A18" t="s" s="1018">
        <v>604</v>
      </c>
      <c r="B18" s="1007"/>
      <c r="C18" s="1019">
        <f>IF(C10&lt;'Dev Cash Flow'!U17,0,(HLOOKUP(C10,'Dev Cash Flow'!$U$17:$AU$44,20,0)))</f>
        <v>0</v>
      </c>
      <c r="D18" s="1019">
        <f>IF(D10&lt;'Dev Cash Flow'!U17,0,(HLOOKUP(D10,'Dev Cash Flow'!$U$17:$AU$44,20,0)))</f>
        <v>0</v>
      </c>
      <c r="E18" s="1019">
        <v>0</v>
      </c>
      <c r="F18" s="1019"/>
      <c r="G18" s="1019"/>
      <c r="H18" s="1019"/>
      <c r="I18" s="1019"/>
      <c r="J18" s="1019"/>
      <c r="K18" s="1019"/>
      <c r="L18" s="1019"/>
      <c r="M18" s="1019"/>
      <c r="N18" s="1019"/>
      <c r="O18" s="1019"/>
      <c r="P18" s="1019"/>
      <c r="Q18" s="1019"/>
      <c r="R18" s="1019"/>
      <c r="S18" s="1019"/>
      <c r="T18" s="1019"/>
      <c r="U18" s="1019"/>
      <c r="V18" s="1019"/>
      <c r="W18" s="1019"/>
      <c r="X18" s="1019"/>
      <c r="Y18" s="1019"/>
      <c r="Z18" s="1019"/>
      <c r="AA18" s="1019"/>
      <c r="AB18" s="1019"/>
      <c r="AC18" s="1019"/>
      <c r="AD18" s="1019"/>
      <c r="AE18" s="1019"/>
      <c r="AF18" s="1019"/>
      <c r="AG18" s="1019"/>
      <c r="AH18" s="1019"/>
      <c r="AI18" s="1019"/>
      <c r="AJ18" s="1019"/>
      <c r="AK18" s="1019"/>
      <c r="AL18" s="1019"/>
      <c r="AM18" s="1019"/>
      <c r="AN18" s="1019"/>
      <c r="AO18" s="1019"/>
      <c r="AP18" s="1019"/>
      <c r="AQ18" s="1019"/>
      <c r="AR18" s="1019"/>
      <c r="AS18" s="1019"/>
      <c r="AT18" s="1019"/>
      <c r="AU18" s="1019"/>
      <c r="AV18" s="1019"/>
      <c r="AW18" s="1019"/>
      <c r="AX18" s="1019"/>
      <c r="AY18" s="1019"/>
      <c r="AZ18" s="1019"/>
      <c r="BA18" s="1019"/>
      <c r="BB18" s="1019"/>
    </row>
    <row r="19" s="978" customFormat="1" ht="17" customHeight="1">
      <c r="A19" t="s" s="1018">
        <v>1009</v>
      </c>
      <c r="B19" s="1007"/>
      <c r="C19" s="1019"/>
      <c r="D19" s="1019"/>
      <c r="E19" s="1019">
        <f>'Secured Funding'!E5</f>
        <v>524264.325</v>
      </c>
      <c r="F19" s="1019"/>
      <c r="G19" s="1019"/>
      <c r="H19" s="1019"/>
      <c r="I19" s="1019"/>
      <c r="J19" s="1019"/>
      <c r="K19" s="1019"/>
      <c r="L19" s="1019"/>
      <c r="M19" s="1019"/>
      <c r="N19" s="1019"/>
      <c r="O19" s="1019"/>
      <c r="P19" s="1019"/>
      <c r="Q19" s="1019"/>
      <c r="R19" s="1019"/>
      <c r="S19" s="1019"/>
      <c r="T19" s="1019"/>
      <c r="U19" s="1019"/>
      <c r="V19" s="1019"/>
      <c r="W19" s="1019"/>
      <c r="X19" s="1019"/>
      <c r="Y19" s="1019"/>
      <c r="Z19" s="1019"/>
      <c r="AA19" s="1019"/>
      <c r="AB19" s="1019"/>
      <c r="AC19" s="1019"/>
      <c r="AD19" s="1019"/>
      <c r="AE19" s="1019"/>
      <c r="AF19" s="1019"/>
      <c r="AG19" s="1019"/>
      <c r="AH19" s="1019"/>
      <c r="AI19" s="1019"/>
      <c r="AJ19" s="1019"/>
      <c r="AK19" s="1019"/>
      <c r="AL19" s="1019"/>
      <c r="AM19" s="1019"/>
      <c r="AN19" s="1019"/>
      <c r="AO19" s="1019"/>
      <c r="AP19" s="1019"/>
      <c r="AQ19" s="1019"/>
      <c r="AR19" s="1019"/>
      <c r="AS19" s="1019"/>
      <c r="AT19" s="1019"/>
      <c r="AU19" s="1019"/>
      <c r="AV19" s="1019"/>
      <c r="AW19" s="1019"/>
      <c r="AX19" s="1019"/>
      <c r="AY19" s="1019"/>
      <c r="AZ19" s="1019"/>
      <c r="BA19" s="1019"/>
      <c r="BB19" s="1019"/>
    </row>
    <row r="20" s="978" customFormat="1" ht="19" customHeight="1">
      <c r="A20" t="s" s="1018">
        <v>1010</v>
      </c>
      <c r="B20" s="1007"/>
      <c r="C20" s="1019">
        <f>IF(C10&lt;'Dev Cash Flow'!U17,0,(HLOOKUP(C10,'Dev Cash Flow'!$U$17:$AU$43,21,0)))</f>
        <v>0</v>
      </c>
      <c r="D20" s="1019">
        <f>IF(D10&lt;'Dev Cash Flow'!U17,0,(HLOOKUP(D10,'Dev Cash Flow'!$U$17:$AU$43,21,0)))</f>
        <v>0</v>
      </c>
      <c r="E20" s="1019">
        <v>0</v>
      </c>
      <c r="F20" s="1019">
        <f>IF(F10&lt;=2020,(HLOOKUP(F10,'Dev Cash Flow'!$U$17:$AU$43,21,0)),0)</f>
        <v>0</v>
      </c>
      <c r="G20" s="1019"/>
      <c r="H20" s="1019"/>
      <c r="I20" s="1019"/>
      <c r="J20" s="907"/>
      <c r="K20" s="907"/>
      <c r="L20" s="907"/>
      <c r="M20" s="907"/>
      <c r="N20" s="907"/>
      <c r="O20" s="907"/>
      <c r="P20" s="907"/>
      <c r="Q20" s="907"/>
      <c r="R20" s="907"/>
      <c r="S20" s="907"/>
      <c r="T20" s="907"/>
      <c r="U20" s="907"/>
      <c r="V20" s="907"/>
      <c r="W20" s="907"/>
      <c r="X20" s="907"/>
      <c r="Y20" s="907"/>
      <c r="Z20" s="907"/>
      <c r="AA20" s="907"/>
      <c r="AB20" s="907"/>
      <c r="AC20" s="907"/>
      <c r="AD20" s="907"/>
      <c r="AE20" s="907"/>
      <c r="AF20" s="907"/>
      <c r="AG20" s="907"/>
      <c r="AH20" s="907"/>
      <c r="AI20" s="907"/>
      <c r="AJ20" s="907"/>
      <c r="AK20" s="907"/>
      <c r="AL20" s="907"/>
      <c r="AM20" s="907"/>
      <c r="AN20" s="907"/>
      <c r="AO20" s="907"/>
      <c r="AP20" s="907"/>
      <c r="AQ20" s="907"/>
      <c r="AR20" s="907"/>
      <c r="AS20" s="907"/>
      <c r="AT20" s="907"/>
      <c r="AU20" s="907"/>
      <c r="AV20" s="907"/>
      <c r="AW20" s="907"/>
      <c r="AX20" s="907"/>
      <c r="AY20" s="907"/>
      <c r="AZ20" s="907"/>
      <c r="BA20" s="907"/>
      <c r="BB20" s="907"/>
    </row>
    <row r="21" s="978" customFormat="1" ht="19" customHeight="1">
      <c r="A21" t="s" s="1018">
        <v>1011</v>
      </c>
      <c r="B21" s="1007"/>
      <c r="C21" s="1019">
        <f>IF(C10&lt;'Dev Cash Flow'!U17,0,(HLOOKUP(C10,'Dev Cash Flow'!$U$17:$AU$43,22,0)))</f>
        <v>0</v>
      </c>
      <c r="D21" s="1019">
        <f>IF(D10&lt;'Dev Cash Flow'!U17,0,(HLOOKUP(D10,'Dev Cash Flow'!$U$17:$AU$43,22,0)))</f>
        <v>0</v>
      </c>
      <c r="E21" s="1019">
        <v>0</v>
      </c>
      <c r="F21" s="1019">
        <f>IF(F10&lt;=2020,(HLOOKUP(F10,'Dev Cash Flow'!$U$17:$AU$43,22,0)),0)</f>
        <v>0</v>
      </c>
      <c r="G21" s="1019"/>
      <c r="H21" s="1019"/>
      <c r="I21" s="1019"/>
      <c r="J21" s="907"/>
      <c r="K21" s="907"/>
      <c r="L21" s="907"/>
      <c r="M21" s="907"/>
      <c r="N21" s="907"/>
      <c r="O21" s="907"/>
      <c r="P21" s="907"/>
      <c r="Q21" s="907"/>
      <c r="R21" s="907"/>
      <c r="S21" s="907"/>
      <c r="T21" s="907"/>
      <c r="U21" s="907"/>
      <c r="V21" s="907"/>
      <c r="W21" s="907"/>
      <c r="X21" s="907"/>
      <c r="Y21" s="907"/>
      <c r="Z21" s="907"/>
      <c r="AA21" s="907"/>
      <c r="AB21" s="907"/>
      <c r="AC21" s="907"/>
      <c r="AD21" s="907"/>
      <c r="AE21" s="907"/>
      <c r="AF21" s="907"/>
      <c r="AG21" s="907"/>
      <c r="AH21" s="907"/>
      <c r="AI21" s="907"/>
      <c r="AJ21" s="907"/>
      <c r="AK21" s="907"/>
      <c r="AL21" s="907"/>
      <c r="AM21" s="907"/>
      <c r="AN21" s="907"/>
      <c r="AO21" s="907"/>
      <c r="AP21" s="907"/>
      <c r="AQ21" s="907"/>
      <c r="AR21" s="907"/>
      <c r="AS21" s="907"/>
      <c r="AT21" s="907"/>
      <c r="AU21" s="907"/>
      <c r="AV21" s="907"/>
      <c r="AW21" s="907"/>
      <c r="AX21" s="907"/>
      <c r="AY21" s="907"/>
      <c r="AZ21" s="907"/>
      <c r="BA21" s="907"/>
      <c r="BB21" s="907"/>
    </row>
    <row r="22" s="978" customFormat="1" ht="17" customHeight="1">
      <c r="A22" t="s" s="1018">
        <v>1012</v>
      </c>
      <c r="B22" s="1007"/>
      <c r="C22" s="1019">
        <f>IF(C10&lt;'Dev Cash Flow'!U17,0,(HLOOKUP(C10,'Dev Cash Flow'!$U$17:$AU$43,23,0)))</f>
        <v>0</v>
      </c>
      <c r="D22" s="1019">
        <f>IF(D10&lt;'Dev Cash Flow'!U17,0,(HLOOKUP(D10,'Dev Cash Flow'!$U$17:$AU$43,23,0)))</f>
        <v>0</v>
      </c>
      <c r="E22" s="1019">
        <v>790000</v>
      </c>
      <c r="F22" s="1019">
        <f>IF(F10&lt;=2020,(HLOOKUP(F10,'Dev Cash Flow'!$U$17:$AU$43,23,0)),0)</f>
        <v>0</v>
      </c>
      <c r="G22" s="1019"/>
      <c r="H22" s="1019"/>
      <c r="I22" s="1019"/>
      <c r="J22" s="1019"/>
      <c r="K22" s="1019"/>
      <c r="L22" s="1019"/>
      <c r="M22" s="1019"/>
      <c r="N22" s="1019"/>
      <c r="O22" s="1019"/>
      <c r="P22" s="1019"/>
      <c r="Q22" s="1019"/>
      <c r="R22" s="1019"/>
      <c r="S22" s="1019"/>
      <c r="T22" s="1019"/>
      <c r="U22" s="1019"/>
      <c r="V22" s="1019"/>
      <c r="W22" s="1019"/>
      <c r="X22" s="1019"/>
      <c r="Y22" s="1019"/>
      <c r="Z22" s="1019"/>
      <c r="AA22" s="1019"/>
      <c r="AB22" s="1019"/>
      <c r="AC22" s="1019"/>
      <c r="AD22" s="1019"/>
      <c r="AE22" s="1019"/>
      <c r="AF22" s="1019"/>
      <c r="AG22" s="1019"/>
      <c r="AH22" s="1019"/>
      <c r="AI22" s="1019"/>
      <c r="AJ22" s="1019"/>
      <c r="AK22" s="1019"/>
      <c r="AL22" s="1019"/>
      <c r="AM22" s="1019"/>
      <c r="AN22" s="1019"/>
      <c r="AO22" s="1019"/>
      <c r="AP22" s="1019"/>
      <c r="AQ22" s="1019"/>
      <c r="AR22" s="1019"/>
      <c r="AS22" s="1019"/>
      <c r="AT22" s="1019"/>
      <c r="AU22" s="1019"/>
      <c r="AV22" s="1019"/>
      <c r="AW22" s="1019"/>
      <c r="AX22" s="1019"/>
      <c r="AY22" s="1019"/>
      <c r="AZ22" s="1019"/>
      <c r="BA22" s="1019"/>
      <c r="BB22" s="1019"/>
    </row>
    <row r="23" s="978" customFormat="1" ht="17" customHeight="1">
      <c r="A23" s="1007"/>
      <c r="B23" s="1007"/>
      <c r="C23" s="1019"/>
      <c r="D23" s="1019"/>
      <c r="E23" s="1019"/>
      <c r="F23" s="1019"/>
      <c r="G23" s="1019"/>
      <c r="H23" s="1019"/>
      <c r="I23" s="1019"/>
      <c r="J23" s="1019"/>
      <c r="K23" s="1019"/>
      <c r="L23" s="1019"/>
      <c r="M23" s="1019"/>
      <c r="N23" s="1019"/>
      <c r="O23" s="1019"/>
      <c r="P23" s="1019"/>
      <c r="Q23" s="1019"/>
      <c r="R23" s="1019"/>
      <c r="S23" s="1019"/>
      <c r="T23" s="1019"/>
      <c r="U23" s="1019"/>
      <c r="V23" s="1019"/>
      <c r="W23" s="1019"/>
      <c r="X23" s="1019"/>
      <c r="Y23" s="1019"/>
      <c r="Z23" s="1019"/>
      <c r="AA23" s="1019"/>
      <c r="AB23" s="1019"/>
      <c r="AC23" s="1019"/>
      <c r="AD23" s="1019"/>
      <c r="AE23" s="1019"/>
      <c r="AF23" s="1019"/>
      <c r="AG23" s="1019"/>
      <c r="AH23" s="1019"/>
      <c r="AI23" s="1019"/>
      <c r="AJ23" s="1019"/>
      <c r="AK23" s="1019"/>
      <c r="AL23" s="1019"/>
      <c r="AM23" s="1019"/>
      <c r="AN23" s="1019"/>
      <c r="AO23" s="1019"/>
      <c r="AP23" s="1019"/>
      <c r="AQ23" s="1019"/>
      <c r="AR23" s="1019"/>
      <c r="AS23" s="1019"/>
      <c r="AT23" s="1019"/>
      <c r="AU23" s="1019"/>
      <c r="AV23" s="1019"/>
      <c r="AW23" s="1019"/>
      <c r="AX23" s="1019"/>
      <c r="AY23" s="1019"/>
      <c r="AZ23" s="1019"/>
      <c r="BA23" s="1019"/>
      <c r="BB23" s="1019"/>
    </row>
    <row r="24" s="978" customFormat="1" ht="17" customHeight="1">
      <c r="A24" t="s" s="1018">
        <v>1013</v>
      </c>
      <c r="B24" s="1007"/>
      <c r="C24" s="1019"/>
      <c r="D24" s="1019"/>
      <c r="E24" s="1019">
        <f>'Commercial'!AF28/12*E5</f>
        <v>0</v>
      </c>
      <c r="F24" s="1019">
        <f>'Commercial'!AG28</f>
        <v>0</v>
      </c>
      <c r="G24" s="1019">
        <f>'Commercial'!AH28</f>
        <v>0</v>
      </c>
      <c r="H24" s="1019">
        <f>'Commercial'!AI28</f>
        <v>0</v>
      </c>
      <c r="I24" s="1019">
        <f>'Commercial'!AJ28</f>
        <v>0</v>
      </c>
      <c r="J24" s="1019">
        <f>'Commercial'!AK28</f>
        <v>0</v>
      </c>
      <c r="K24" s="1019">
        <f>'Commercial'!AL28</f>
        <v>0</v>
      </c>
      <c r="L24" s="1019">
        <f>'Commercial'!AM28</f>
        <v>0</v>
      </c>
      <c r="M24" s="1019">
        <f>'Commercial'!AN28</f>
        <v>0</v>
      </c>
      <c r="N24" s="1019">
        <f>'Commercial'!AO28</f>
        <v>0</v>
      </c>
      <c r="O24" s="1019">
        <f>'Commercial'!AP28</f>
        <v>0</v>
      </c>
      <c r="P24" s="1019">
        <f>'Commercial'!AQ28</f>
        <v>0</v>
      </c>
      <c r="Q24" s="1019">
        <f>'Commercial'!AR28</f>
        <v>0</v>
      </c>
      <c r="R24" s="1019">
        <f>'Commercial'!AS28</f>
        <v>0</v>
      </c>
      <c r="S24" s="1019">
        <f>'Commercial'!AT28</f>
        <v>0</v>
      </c>
      <c r="T24" s="1019">
        <f>'Commercial'!AU28</f>
        <v>0</v>
      </c>
      <c r="U24" s="1019">
        <f>'Commercial'!AV28</f>
        <v>0</v>
      </c>
      <c r="V24" s="1019">
        <f>'Commercial'!AW28</f>
        <v>0</v>
      </c>
      <c r="W24" s="1019">
        <f>'Commercial'!AX28</f>
        <v>0</v>
      </c>
      <c r="X24" s="1019">
        <f>'Commercial'!AY28</f>
        <v>0</v>
      </c>
      <c r="Y24" s="1019">
        <f>'Commercial'!AZ28</f>
        <v>0</v>
      </c>
      <c r="Z24" s="1019">
        <f>'Commercial'!BA28</f>
        <v>0</v>
      </c>
      <c r="AA24" s="1019">
        <f>'Commercial'!BB28</f>
        <v>0</v>
      </c>
      <c r="AB24" s="1019">
        <f>'Commercial'!BC28</f>
        <v>0</v>
      </c>
      <c r="AC24" s="1019">
        <f>'Commercial'!BD28</f>
        <v>0</v>
      </c>
      <c r="AD24" s="1019">
        <f>'Commercial'!BE28</f>
        <v>0</v>
      </c>
      <c r="AE24" s="1019">
        <f>'Commercial'!BF28</f>
        <v>0</v>
      </c>
      <c r="AF24" s="1019">
        <f>'Commercial'!BG28</f>
        <v>0</v>
      </c>
      <c r="AG24" s="1019">
        <f>'Commercial'!BH28</f>
        <v>0</v>
      </c>
      <c r="AH24" s="1019">
        <f>'Commercial'!BI28</f>
        <v>0</v>
      </c>
      <c r="AI24" s="1019">
        <f>'Commercial'!BJ28</f>
        <v>0</v>
      </c>
      <c r="AJ24" s="1019">
        <f>'Commercial'!BK28</f>
        <v>0</v>
      </c>
      <c r="AK24" s="1019">
        <f>'Commercial'!BL28</f>
        <v>0</v>
      </c>
      <c r="AL24" s="1019">
        <f>'Commercial'!BM28</f>
        <v>0</v>
      </c>
      <c r="AM24" s="1019">
        <f>'Commercial'!BN28</f>
        <v>0</v>
      </c>
      <c r="AN24" s="1019">
        <f>'Commercial'!BO28</f>
        <v>0</v>
      </c>
      <c r="AO24" s="1019">
        <f>'Commercial'!BP28</f>
        <v>0</v>
      </c>
      <c r="AP24" s="1019">
        <f>'Commercial'!BQ28</f>
        <v>0</v>
      </c>
      <c r="AQ24" s="1019">
        <f>'Commercial'!BR28</f>
        <v>0</v>
      </c>
      <c r="AR24" s="1019">
        <f>'Commercial'!BS28</f>
        <v>0</v>
      </c>
      <c r="AS24" s="1019">
        <f>'Commercial'!BT28</f>
        <v>0</v>
      </c>
      <c r="AT24" s="1019">
        <f>'Commercial'!BU28</f>
        <v>0</v>
      </c>
      <c r="AU24" s="1019">
        <f>'Commercial'!BV28</f>
        <v>0</v>
      </c>
      <c r="AV24" s="1019">
        <f>'Commercial'!BW28</f>
        <v>0</v>
      </c>
      <c r="AW24" s="1019">
        <f>'Commercial'!BX28</f>
        <v>0</v>
      </c>
      <c r="AX24" s="1019">
        <f>'Commercial'!BY28</f>
        <v>0</v>
      </c>
      <c r="AY24" s="1019">
        <f>'Commercial'!BZ28</f>
        <v>0</v>
      </c>
      <c r="AZ24" s="1019">
        <f>'Commercial'!CA28</f>
        <v>0</v>
      </c>
      <c r="BA24" s="1019">
        <f>'Commercial'!CB28</f>
        <v>0</v>
      </c>
      <c r="BB24" s="1019">
        <f>'Commercial'!CC28</f>
        <v>0</v>
      </c>
    </row>
    <row r="25" s="978" customFormat="1" ht="17" customHeight="1">
      <c r="A25" t="s" s="1018">
        <v>1014</v>
      </c>
      <c r="B25" s="1007"/>
      <c r="C25" s="1019"/>
      <c r="D25" s="1019"/>
      <c r="E25" s="1019">
        <f>'Commercial'!AF29/12*E5</f>
        <v>0</v>
      </c>
      <c r="F25" s="1019">
        <f>'Commercial'!AG29</f>
        <v>0</v>
      </c>
      <c r="G25" s="1019">
        <f>'Commercial'!AH29</f>
        <v>0</v>
      </c>
      <c r="H25" s="1019">
        <f>'Commercial'!AI29</f>
        <v>0</v>
      </c>
      <c r="I25" s="1019">
        <f>'Commercial'!AJ29</f>
        <v>0</v>
      </c>
      <c r="J25" s="1019">
        <f>'Commercial'!AK29</f>
        <v>0</v>
      </c>
      <c r="K25" s="1019">
        <f>'Commercial'!AL29</f>
        <v>0</v>
      </c>
      <c r="L25" s="1019">
        <f>'Commercial'!AM29</f>
        <v>0</v>
      </c>
      <c r="M25" s="1019">
        <f>'Commercial'!AN29</f>
        <v>0</v>
      </c>
      <c r="N25" s="1019">
        <f>'Commercial'!AO29</f>
        <v>0</v>
      </c>
      <c r="O25" s="1019">
        <f>'Commercial'!AP29</f>
        <v>0</v>
      </c>
      <c r="P25" s="1019">
        <f>'Commercial'!AQ29</f>
        <v>0</v>
      </c>
      <c r="Q25" s="1019">
        <f>'Commercial'!AR29</f>
        <v>0</v>
      </c>
      <c r="R25" s="1019">
        <f>'Commercial'!AS29</f>
        <v>0</v>
      </c>
      <c r="S25" s="1019">
        <f>'Commercial'!AT29</f>
        <v>0</v>
      </c>
      <c r="T25" s="1019">
        <f>'Commercial'!AU29</f>
        <v>0</v>
      </c>
      <c r="U25" s="1019">
        <f>'Commercial'!AV29</f>
        <v>0</v>
      </c>
      <c r="V25" s="1019">
        <f>'Commercial'!AW29</f>
        <v>0</v>
      </c>
      <c r="W25" s="1019">
        <f>'Commercial'!AX29</f>
        <v>0</v>
      </c>
      <c r="X25" s="1019">
        <f>'Commercial'!AY29</f>
        <v>0</v>
      </c>
      <c r="Y25" s="1019">
        <f>'Commercial'!AZ29</f>
        <v>0</v>
      </c>
      <c r="Z25" s="1019">
        <f>'Commercial'!BA29</f>
        <v>0</v>
      </c>
      <c r="AA25" s="1019">
        <f>'Commercial'!BB29</f>
        <v>0</v>
      </c>
      <c r="AB25" s="1019">
        <f>'Commercial'!BC29</f>
        <v>0</v>
      </c>
      <c r="AC25" s="1019">
        <f>'Commercial'!BD29</f>
        <v>0</v>
      </c>
      <c r="AD25" s="1019">
        <f>'Commercial'!BE29</f>
        <v>0</v>
      </c>
      <c r="AE25" s="1019">
        <f>'Commercial'!BF29</f>
        <v>0</v>
      </c>
      <c r="AF25" s="1019">
        <f>'Commercial'!BG29</f>
        <v>0</v>
      </c>
      <c r="AG25" s="1019">
        <f>'Commercial'!BH29</f>
        <v>0</v>
      </c>
      <c r="AH25" s="1019">
        <f>'Commercial'!BI29</f>
        <v>0</v>
      </c>
      <c r="AI25" s="1019">
        <f>'Commercial'!BJ29</f>
        <v>0</v>
      </c>
      <c r="AJ25" s="1019">
        <f>'Commercial'!BK29</f>
        <v>0</v>
      </c>
      <c r="AK25" s="1019">
        <f>'Commercial'!BL29</f>
        <v>0</v>
      </c>
      <c r="AL25" s="1019">
        <f>'Commercial'!BM29</f>
        <v>0</v>
      </c>
      <c r="AM25" s="1019">
        <f>'Commercial'!BN29</f>
        <v>0</v>
      </c>
      <c r="AN25" s="1019">
        <f>'Commercial'!BO29</f>
        <v>0</v>
      </c>
      <c r="AO25" s="1019">
        <f>'Commercial'!BP29</f>
        <v>0</v>
      </c>
      <c r="AP25" s="1019">
        <f>'Commercial'!BQ29</f>
        <v>0</v>
      </c>
      <c r="AQ25" s="1019">
        <f>'Commercial'!BR29</f>
        <v>0</v>
      </c>
      <c r="AR25" s="1019">
        <f>'Commercial'!BS29</f>
        <v>0</v>
      </c>
      <c r="AS25" s="1019">
        <f>'Commercial'!BT29</f>
        <v>0</v>
      </c>
      <c r="AT25" s="1019">
        <f>'Commercial'!BU29</f>
        <v>0</v>
      </c>
      <c r="AU25" s="1019">
        <f>'Commercial'!BV29</f>
        <v>0</v>
      </c>
      <c r="AV25" s="1019">
        <f>'Commercial'!BW29</f>
        <v>0</v>
      </c>
      <c r="AW25" s="1019">
        <f>'Commercial'!BX29</f>
        <v>0</v>
      </c>
      <c r="AX25" s="1019">
        <f>'Commercial'!BY29</f>
        <v>0</v>
      </c>
      <c r="AY25" s="1019">
        <f>'Commercial'!BZ29</f>
        <v>0</v>
      </c>
      <c r="AZ25" s="1019">
        <f>'Commercial'!CA29</f>
        <v>0</v>
      </c>
      <c r="BA25" s="1019">
        <f>'Commercial'!CB29</f>
        <v>0</v>
      </c>
      <c r="BB25" s="1019">
        <f>'Commercial'!CC29</f>
        <v>0</v>
      </c>
    </row>
    <row r="26" s="978" customFormat="1" ht="17" customHeight="1">
      <c r="A26" s="1021"/>
      <c r="B26" s="1021"/>
      <c r="C26" s="1022"/>
      <c r="D26" s="1022"/>
      <c r="E26" s="1022"/>
      <c r="F26" s="1022"/>
      <c r="G26" s="1022"/>
      <c r="H26" s="1022"/>
      <c r="I26" s="1022"/>
      <c r="J26" s="1022"/>
      <c r="K26" s="1022"/>
      <c r="L26" s="1022"/>
      <c r="M26" s="1022"/>
      <c r="N26" s="1022"/>
      <c r="O26" s="1022"/>
      <c r="P26" s="1022"/>
      <c r="Q26" s="1022"/>
      <c r="R26" s="1022"/>
      <c r="S26" s="1022"/>
      <c r="T26" s="1022"/>
      <c r="U26" s="1022"/>
      <c r="V26" s="1022"/>
      <c r="W26" s="1022"/>
      <c r="X26" s="1022"/>
      <c r="Y26" s="1022"/>
      <c r="Z26" s="1022"/>
      <c r="AA26" s="1022"/>
      <c r="AB26" s="1022"/>
      <c r="AC26" s="1022"/>
      <c r="AD26" s="1022"/>
      <c r="AE26" s="1022"/>
      <c r="AF26" s="1022"/>
      <c r="AG26" s="1022"/>
      <c r="AH26" s="1022"/>
      <c r="AI26" s="1022"/>
      <c r="AJ26" s="1022"/>
      <c r="AK26" s="1022"/>
      <c r="AL26" s="1022"/>
      <c r="AM26" s="1022"/>
      <c r="AN26" s="1022"/>
      <c r="AO26" s="1022"/>
      <c r="AP26" s="1022"/>
      <c r="AQ26" s="1022"/>
      <c r="AR26" s="1022"/>
      <c r="AS26" s="1022"/>
      <c r="AT26" s="1022"/>
      <c r="AU26" s="1022"/>
      <c r="AV26" s="1022"/>
      <c r="AW26" s="1022"/>
      <c r="AX26" s="1022"/>
      <c r="AY26" s="1022"/>
      <c r="AZ26" s="1022"/>
      <c r="BA26" s="1022"/>
      <c r="BB26" s="1022"/>
    </row>
    <row r="27" s="1011" customFormat="1" ht="15.75" customHeight="1">
      <c r="A27" t="s" s="1023">
        <v>1015</v>
      </c>
      <c r="B27" s="1024"/>
      <c r="C27" s="1025">
        <f>SUM(C14:C22)</f>
        <v>0</v>
      </c>
      <c r="D27" s="1025">
        <f>SUM(D14:D22)</f>
        <v>125000</v>
      </c>
      <c r="E27" s="1025">
        <f>SUM(E14:E25)</f>
        <v>1346539.325</v>
      </c>
      <c r="F27" s="1025">
        <f>SUM(F14:F25)</f>
        <v>39891.6</v>
      </c>
      <c r="G27" s="1025">
        <f>SUM(G14:G25)</f>
        <v>41087.768</v>
      </c>
      <c r="H27" s="1025">
        <f>SUM(H14:H25)</f>
        <v>42320.57104</v>
      </c>
      <c r="I27" s="1025">
        <f>SUM(I14:I25)</f>
        <v>43590.108171199994</v>
      </c>
      <c r="J27" s="1025">
        <f>SUM(J14:J25)</f>
        <v>44898.511416336</v>
      </c>
      <c r="K27" s="1025">
        <f>SUM(K14:K25)</f>
        <v>46244.946758826081</v>
      </c>
      <c r="L27" s="1025">
        <f>SUM(L14:L25)</f>
        <v>47632.615161590868</v>
      </c>
      <c r="M27" s="1025">
        <f>SUM(M14:M25)</f>
        <v>49061.7536164386</v>
      </c>
      <c r="N27" s="1025">
        <f>SUM(N14:N25)</f>
        <v>50533.636224931754</v>
      </c>
      <c r="O27" s="1025">
        <f>SUM(O14:O25)</f>
        <v>52049.575311679706</v>
      </c>
      <c r="P27" s="1025">
        <f>SUM(P14:P25)</f>
        <v>53610.9225710301</v>
      </c>
      <c r="Q27" s="1025">
        <f>SUM(Q14:Q25)</f>
        <v>55219.070248161</v>
      </c>
      <c r="R27" s="1025">
        <f>SUM(R14:R25)</f>
        <v>56875.452355605827</v>
      </c>
      <c r="S27" s="1025">
        <f>SUM(S14:S25)</f>
        <v>58581.545926274</v>
      </c>
      <c r="T27" s="1025">
        <f>SUM(T14:T25)</f>
        <v>60339.872304062228</v>
      </c>
      <c r="U27" s="1025">
        <f>SUM(U14:U25)</f>
        <v>62149.9984731841</v>
      </c>
      <c r="V27" s="1025">
        <f>SUM(V14:V25)</f>
        <v>64014.538427379623</v>
      </c>
      <c r="W27" s="1025">
        <f>SUM(W14:W25)</f>
        <v>65934.154580201008</v>
      </c>
      <c r="X27" s="1025">
        <f>SUM(X14:X25)</f>
        <v>67912.559217607035</v>
      </c>
      <c r="Y27" s="1025">
        <f>SUM(Y14:Y25)</f>
        <v>69949.515994135247</v>
      </c>
      <c r="Z27" s="1025">
        <f>SUM(Z14:Z25)</f>
        <v>72048.8414739593</v>
      </c>
      <c r="AA27" s="1025">
        <f>SUM(AA14:AA25)</f>
        <v>74210.406718178085</v>
      </c>
      <c r="AB27" s="1025">
        <f>SUM(AB14:AB25)</f>
        <v>76436.138919723424</v>
      </c>
      <c r="AC27" s="1025">
        <f>SUM(AC14:AC25)</f>
        <v>78729.023087315130</v>
      </c>
      <c r="AD27" s="1025">
        <f>SUM(AD14:AD25)</f>
        <v>81091.103779934580</v>
      </c>
      <c r="AE27" s="1025">
        <f>SUM(AE14:AE25)</f>
        <v>83523.486893332622</v>
      </c>
      <c r="AF27" s="1025">
        <f>SUM(AF14:AF25)</f>
        <v>86029.341500132607</v>
      </c>
      <c r="AG27" s="1025">
        <f>SUM(AG14:AG25)</f>
        <v>88610.901745136594</v>
      </c>
      <c r="AH27" s="1025">
        <f>SUM(AH14:AH25)</f>
        <v>91268.4687974907</v>
      </c>
      <c r="AI27" s="1025">
        <f>SUM(AI14:AI25)</f>
        <v>94006.412861415418</v>
      </c>
      <c r="AJ27" s="1025">
        <f>SUM(AJ14:AJ25)</f>
        <v>96827.175247257881</v>
      </c>
      <c r="AK27" s="1025">
        <f>SUM(AK14:AK25)</f>
        <v>99732.270504675616</v>
      </c>
      <c r="AL27" s="1025">
        <f>SUM(AL14:AL25)</f>
        <v>102724.2886198159</v>
      </c>
      <c r="AM27" s="1025">
        <f>SUM(AM14:AM25)</f>
        <v>105805.8972784104</v>
      </c>
      <c r="AN27" s="1025">
        <f>SUM(AN14:AN25)</f>
        <v>108979.8441967627</v>
      </c>
      <c r="AO27" s="1025">
        <f>SUM(AO14:AO25)</f>
        <v>112248.9595226656</v>
      </c>
      <c r="AP27" s="1025">
        <f>SUM(AP14:AP25)</f>
        <v>115616.1583083455</v>
      </c>
      <c r="AQ27" s="1025">
        <f>SUM(AQ14:AQ25)</f>
        <v>119085.4430575959</v>
      </c>
      <c r="AR27" s="1025">
        <f>SUM(AR14:AR25)</f>
        <v>122657.9063493238</v>
      </c>
      <c r="AS27" s="1025">
        <f>SUM(AS14:AS25)</f>
        <v>126337.7335398035</v>
      </c>
      <c r="AT27" s="1025">
        <f>SUM(AT14:AT25)</f>
        <v>130127.2055459976</v>
      </c>
      <c r="AU27" s="1025">
        <f>SUM(AU14:AU25)</f>
        <v>134031.7017123775</v>
      </c>
      <c r="AV27" s="1025">
        <f>SUM(AV14:AV25)</f>
        <v>138052.7027637488</v>
      </c>
      <c r="AW27" s="1025">
        <f>SUM(AW14:AW25)</f>
        <v>142193.7938466613</v>
      </c>
      <c r="AX27" s="1025">
        <f>SUM(AX14:AX25)</f>
        <v>146459.6676620612</v>
      </c>
      <c r="AY27" s="1025">
        <f>SUM(AY14:AY25)</f>
        <v>150853.127691923</v>
      </c>
      <c r="AZ27" s="1025">
        <f>SUM(AZ14:AZ25)</f>
        <v>155379.0915226807</v>
      </c>
      <c r="BA27" s="1025">
        <f>SUM(BA14:BA25)</f>
        <v>160040.5942683611</v>
      </c>
      <c r="BB27" s="1025">
        <f>SUM(BB14:BB25)</f>
        <v>164841.792096412</v>
      </c>
    </row>
    <row r="28" s="978" customFormat="1" ht="15.75" customHeight="1">
      <c r="A28" t="s" s="1015">
        <v>1016</v>
      </c>
      <c r="B28" s="1016"/>
      <c r="C28" s="1026"/>
      <c r="D28" s="1026"/>
      <c r="E28" s="1026"/>
      <c r="F28" s="1026"/>
      <c r="G28" s="1026"/>
      <c r="H28" s="1026"/>
      <c r="I28" s="1026"/>
      <c r="J28" s="1026"/>
      <c r="K28" s="1026"/>
      <c r="L28" s="1026"/>
      <c r="M28" s="1026"/>
      <c r="N28" s="1026"/>
      <c r="O28" s="1026"/>
      <c r="P28" s="1026"/>
      <c r="Q28" s="1026"/>
      <c r="R28" s="1026"/>
      <c r="S28" s="1026"/>
      <c r="T28" s="1026"/>
      <c r="U28" s="1026"/>
      <c r="V28" s="1026"/>
      <c r="W28" s="1026"/>
      <c r="X28" s="1026"/>
      <c r="Y28" s="1026"/>
      <c r="Z28" s="1026"/>
      <c r="AA28" s="1026"/>
      <c r="AB28" s="1026"/>
      <c r="AC28" s="1026"/>
      <c r="AD28" s="1026"/>
      <c r="AE28" s="1026"/>
      <c r="AF28" s="1026"/>
      <c r="AG28" s="1026"/>
      <c r="AH28" s="1026"/>
      <c r="AI28" s="1026"/>
      <c r="AJ28" s="1026"/>
      <c r="AK28" s="1026"/>
      <c r="AL28" s="1026"/>
      <c r="AM28" s="1026"/>
      <c r="AN28" s="1026"/>
      <c r="AO28" s="1026"/>
      <c r="AP28" s="1026"/>
      <c r="AQ28" s="1026"/>
      <c r="AR28" s="1026"/>
      <c r="AS28" s="1026"/>
      <c r="AT28" s="1026"/>
      <c r="AU28" s="1026"/>
      <c r="AV28" s="1026"/>
      <c r="AW28" s="1026"/>
      <c r="AX28" s="1026"/>
      <c r="AY28" s="1026"/>
      <c r="AZ28" s="1026"/>
      <c r="BA28" s="1026"/>
      <c r="BB28" s="1026"/>
    </row>
    <row r="29" s="978" customFormat="1" ht="15.75" customHeight="1">
      <c r="A29" s="1012"/>
      <c r="B29" s="1012"/>
      <c r="C29" s="1019"/>
      <c r="D29" s="1019"/>
      <c r="E29" s="1019"/>
      <c r="F29" s="1019"/>
      <c r="G29" s="1019"/>
      <c r="H29" s="1019"/>
      <c r="I29" s="1019"/>
      <c r="J29" s="1019"/>
      <c r="K29" s="1019"/>
      <c r="L29" s="1019"/>
      <c r="M29" s="1019"/>
      <c r="N29" s="1019"/>
      <c r="O29" s="1019"/>
      <c r="P29" s="1019"/>
      <c r="Q29" s="1019"/>
      <c r="R29" s="1019"/>
      <c r="S29" s="1019"/>
      <c r="T29" s="1019"/>
      <c r="U29" s="1019"/>
      <c r="V29" s="1019"/>
      <c r="W29" s="1019"/>
      <c r="X29" s="1019"/>
      <c r="Y29" s="1019"/>
      <c r="Z29" s="1019"/>
      <c r="AA29" s="1019"/>
      <c r="AB29" s="1019"/>
      <c r="AC29" s="1019"/>
      <c r="AD29" s="1019"/>
      <c r="AE29" s="1019"/>
      <c r="AF29" s="1019"/>
      <c r="AG29" s="1019"/>
      <c r="AH29" s="1019"/>
      <c r="AI29" s="1019"/>
      <c r="AJ29" s="1019"/>
      <c r="AK29" s="1019"/>
      <c r="AL29" s="1019"/>
      <c r="AM29" s="1019"/>
      <c r="AN29" s="1019"/>
      <c r="AO29" s="1019"/>
      <c r="AP29" s="1019"/>
      <c r="AQ29" s="1019"/>
      <c r="AR29" s="1019"/>
      <c r="AS29" s="1019"/>
      <c r="AT29" s="1019"/>
      <c r="AU29" s="1019"/>
      <c r="AV29" s="1019"/>
      <c r="AW29" s="1019"/>
      <c r="AX29" s="1019"/>
      <c r="AY29" s="1019"/>
      <c r="AZ29" s="1019"/>
      <c r="BA29" s="1019"/>
      <c r="BB29" s="1019"/>
    </row>
    <row r="30" s="978" customFormat="1" ht="17" customHeight="1">
      <c r="A30" t="s" s="1018">
        <v>1017</v>
      </c>
      <c r="B30" s="1007"/>
      <c r="C30" s="1019">
        <f>IF(C10&lt;'Dev Cash Flow'!U17,0,-HLOOKUP(C10,'Dev Cash Flow'!$U$17:$AU$44,15,0)+HLOOKUP(C10,'Dev Cash Flow'!$U$17:$AU$44,28,0))</f>
        <v>0</v>
      </c>
      <c r="D30" s="1019">
        <v>-1214718</v>
      </c>
      <c r="E30" s="1019">
        <v>-224546</v>
      </c>
      <c r="F30" s="1019"/>
      <c r="G30" s="1007"/>
      <c r="H30" s="1007"/>
      <c r="I30" s="1019"/>
      <c r="J30" s="1019"/>
      <c r="K30" s="1019"/>
      <c r="L30" s="1019"/>
      <c r="M30" s="1019"/>
      <c r="N30" s="1019"/>
      <c r="O30" s="1019"/>
      <c r="P30" s="1019"/>
      <c r="Q30" s="1019"/>
      <c r="R30" s="1019"/>
      <c r="S30" s="1019"/>
      <c r="T30" s="1019"/>
      <c r="U30" s="1019"/>
      <c r="V30" s="1019"/>
      <c r="W30" s="1019"/>
      <c r="X30" s="1019"/>
      <c r="Y30" s="1019"/>
      <c r="Z30" s="1019"/>
      <c r="AA30" s="1019"/>
      <c r="AB30" s="1019"/>
      <c r="AC30" s="1019"/>
      <c r="AD30" s="1019"/>
      <c r="AE30" s="1019"/>
      <c r="AF30" s="1019"/>
      <c r="AG30" s="1019"/>
      <c r="AH30" s="1019"/>
      <c r="AI30" s="1019"/>
      <c r="AJ30" s="1019"/>
      <c r="AK30" s="1019"/>
      <c r="AL30" s="1019"/>
      <c r="AM30" s="1019"/>
      <c r="AN30" s="1019"/>
      <c r="AO30" s="1019"/>
      <c r="AP30" s="1019"/>
      <c r="AQ30" s="1019"/>
      <c r="AR30" s="1019"/>
      <c r="AS30" s="1019"/>
      <c r="AT30" s="1019"/>
      <c r="AU30" s="1019"/>
      <c r="AV30" s="1019"/>
      <c r="AW30" s="1019"/>
      <c r="AX30" s="1019"/>
      <c r="AY30" s="1019"/>
      <c r="AZ30" s="1019"/>
      <c r="BA30" s="1019"/>
      <c r="BB30" s="1019"/>
    </row>
    <row r="31" s="978" customFormat="1" ht="17" customHeight="1">
      <c r="A31" s="1007"/>
      <c r="B31" s="1007"/>
      <c r="C31" s="1019"/>
      <c r="D31" s="1019"/>
      <c r="E31" s="1019"/>
      <c r="F31" s="1019"/>
      <c r="G31" s="1019"/>
      <c r="H31" s="1019"/>
      <c r="I31" s="1019"/>
      <c r="J31" s="1019"/>
      <c r="K31" s="1019"/>
      <c r="L31" s="1019"/>
      <c r="M31" s="1019"/>
      <c r="N31" s="1019"/>
      <c r="O31" s="1019"/>
      <c r="P31" s="1019"/>
      <c r="Q31" s="1019"/>
      <c r="R31" s="1019"/>
      <c r="S31" s="1019"/>
      <c r="T31" s="1019"/>
      <c r="U31" s="1019"/>
      <c r="V31" s="1019"/>
      <c r="W31" s="1019"/>
      <c r="X31" s="1019"/>
      <c r="Y31" s="1019"/>
      <c r="Z31" s="1019"/>
      <c r="AA31" s="1019"/>
      <c r="AB31" s="1019"/>
      <c r="AC31" s="1019"/>
      <c r="AD31" s="1019"/>
      <c r="AE31" s="1019"/>
      <c r="AF31" s="1019"/>
      <c r="AG31" s="1019"/>
      <c r="AH31" s="1019"/>
      <c r="AI31" s="1019"/>
      <c r="AJ31" s="1019"/>
      <c r="AK31" s="1019"/>
      <c r="AL31" s="1019"/>
      <c r="AM31" s="1019"/>
      <c r="AN31" s="1019"/>
      <c r="AO31" s="1019"/>
      <c r="AP31" s="1019"/>
      <c r="AQ31" s="1019"/>
      <c r="AR31" s="1019"/>
      <c r="AS31" s="1019"/>
      <c r="AT31" s="1019"/>
      <c r="AU31" s="1019"/>
      <c r="AV31" s="1019"/>
      <c r="AW31" s="1019"/>
      <c r="AX31" s="1019"/>
      <c r="AY31" s="1019"/>
      <c r="AZ31" s="1019"/>
      <c r="BA31" s="1019"/>
      <c r="BB31" s="1019"/>
    </row>
    <row r="32" s="978" customFormat="1" ht="17" customHeight="1">
      <c r="A32" t="s" s="1027">
        <v>962</v>
      </c>
      <c r="B32" s="1028"/>
      <c r="C32" s="1019"/>
      <c r="D32" s="1019"/>
      <c r="E32" s="1019">
        <f>('Social Rent'!AY30+'Market Rent'!AU30+'Affordable Rent'!AW30)/12*$E$5</f>
        <v>-1766.666666666667</v>
      </c>
      <c r="F32" s="1019">
        <f>('Social Rent'!AZ30+'Market Rent'!AV30+'Affordable Rent'!AX30)</f>
        <v>-2184</v>
      </c>
      <c r="G32" s="1019">
        <f>('Social Rent'!BA30+'Market Rent'!AW30+'Affordable Rent'!AY30)</f>
        <v>-2250</v>
      </c>
      <c r="H32" s="1019">
        <f>('Social Rent'!BB30+'Market Rent'!AX30+'Affordable Rent'!AZ30)</f>
        <v>-2318</v>
      </c>
      <c r="I32" s="1019">
        <f>('Social Rent'!BC30+'Market Rent'!AY30+'Affordable Rent'!BA30)</f>
        <v>-2388</v>
      </c>
      <c r="J32" s="1019">
        <f>('Social Rent'!BD30+'Market Rent'!AZ30+'Affordable Rent'!BB30)</f>
        <v>-2460</v>
      </c>
      <c r="K32" s="1019">
        <f>('Social Rent'!BE30+'Market Rent'!BA30+'Affordable Rent'!BC30)</f>
        <v>-2534</v>
      </c>
      <c r="L32" s="1019">
        <f>('Social Rent'!BF30+'Market Rent'!BB30+'Affordable Rent'!BD30)</f>
        <v>-2610</v>
      </c>
      <c r="M32" s="1019">
        <f>('Social Rent'!BG30+'Market Rent'!BC30+'Affordable Rent'!BE30)</f>
        <v>-2688</v>
      </c>
      <c r="N32" s="1019">
        <f>('Social Rent'!BH30+'Market Rent'!BD30+'Affordable Rent'!BF30)</f>
        <v>-2769</v>
      </c>
      <c r="O32" s="1019">
        <f>('Social Rent'!BI30+'Market Rent'!BE30+'Affordable Rent'!BG30)</f>
        <v>-2852</v>
      </c>
      <c r="P32" s="1019">
        <f>('Social Rent'!BJ30+'Market Rent'!BF30+'Affordable Rent'!BH30)</f>
        <v>-2938</v>
      </c>
      <c r="Q32" s="1019">
        <f>('Social Rent'!BK30+'Market Rent'!BG30+'Affordable Rent'!BI30)</f>
        <v>-3026</v>
      </c>
      <c r="R32" s="1019">
        <f>('Social Rent'!BL30+'Market Rent'!BH30+'Affordable Rent'!BJ30)</f>
        <v>-3117</v>
      </c>
      <c r="S32" s="1019">
        <f>('Social Rent'!BM30+'Market Rent'!BI30+'Affordable Rent'!BK30)</f>
        <v>-3211</v>
      </c>
      <c r="T32" s="1019">
        <f>('Social Rent'!BN30+'Market Rent'!BJ30+'Affordable Rent'!BL30)</f>
        <v>-3307</v>
      </c>
      <c r="U32" s="1019">
        <f>('Social Rent'!BO30+'Market Rent'!BK30+'Affordable Rent'!BM30)</f>
        <v>-3406</v>
      </c>
      <c r="V32" s="1019">
        <f>('Social Rent'!BP30+'Market Rent'!BL30+'Affordable Rent'!BN30)</f>
        <v>-3508</v>
      </c>
      <c r="W32" s="1019">
        <f>('Social Rent'!BQ30+'Market Rent'!BM30+'Affordable Rent'!BO30)</f>
        <v>-3613</v>
      </c>
      <c r="X32" s="1019">
        <f>('Social Rent'!BR30+'Market Rent'!BN30+'Affordable Rent'!BP30)</f>
        <v>-3721</v>
      </c>
      <c r="Y32" s="1019">
        <f>('Social Rent'!BS30+'Market Rent'!BO30+'Affordable Rent'!BQ30)</f>
        <v>-3833</v>
      </c>
      <c r="Z32" s="1019">
        <f>('Social Rent'!BT30+'Market Rent'!BP30+'Affordable Rent'!BR30)</f>
        <v>-3948</v>
      </c>
      <c r="AA32" s="1019">
        <f>('Social Rent'!BU30+'Market Rent'!BQ30+'Affordable Rent'!BS30)</f>
        <v>-4066</v>
      </c>
      <c r="AB32" s="1019">
        <f>('Social Rent'!BV30+'Market Rent'!BR30+'Affordable Rent'!BT30)</f>
        <v>-4188</v>
      </c>
      <c r="AC32" s="1019">
        <f>('Social Rent'!BW30+'Market Rent'!BS30+'Affordable Rent'!BU30)</f>
        <v>-4314</v>
      </c>
      <c r="AD32" s="1019">
        <f>('Social Rent'!BX30+'Market Rent'!BT30+'Affordable Rent'!BV30)</f>
        <v>-4443</v>
      </c>
      <c r="AE32" s="1019">
        <f>('Social Rent'!BY30+'Market Rent'!BU30+'Affordable Rent'!BW30)</f>
        <v>-4576</v>
      </c>
      <c r="AF32" s="1019">
        <f>('Social Rent'!BZ30+'Market Rent'!BV30+'Affordable Rent'!BX30)</f>
        <v>-4713</v>
      </c>
      <c r="AG32" s="1019">
        <f>('Social Rent'!CA30+'Market Rent'!BW30+'Affordable Rent'!BY30)</f>
        <v>-4854</v>
      </c>
      <c r="AH32" s="1019">
        <f>('Social Rent'!CB30+'Market Rent'!BX30+'Affordable Rent'!BZ30)</f>
        <v>-5000</v>
      </c>
      <c r="AI32" s="1019">
        <f>('Social Rent'!CC30+'Market Rent'!BY30+'Affordable Rent'!CA30)</f>
        <v>-5150</v>
      </c>
      <c r="AJ32" s="1019">
        <f>('Social Rent'!CD30+'Market Rent'!BZ30+'Affordable Rent'!CB30)</f>
        <v>-5305</v>
      </c>
      <c r="AK32" s="1019">
        <f>('Social Rent'!CE30+'Market Rent'!CA30+'Affordable Rent'!CC30)</f>
        <v>-5464</v>
      </c>
      <c r="AL32" s="1019">
        <f>('Social Rent'!CF30+'Market Rent'!CB30+'Affordable Rent'!CD30)</f>
        <v>-5628</v>
      </c>
      <c r="AM32" s="1019">
        <f>('Social Rent'!CG30+'Market Rent'!CC30+'Affordable Rent'!CE30)</f>
        <v>-5797</v>
      </c>
      <c r="AN32" s="1019">
        <f>('Social Rent'!CH30+'Market Rent'!CD30+'Affordable Rent'!CF30)</f>
        <v>-5971</v>
      </c>
      <c r="AO32" s="1019">
        <f>('Social Rent'!CI30+'Market Rent'!CE30+'Affordable Rent'!CG30)</f>
        <v>-6150</v>
      </c>
      <c r="AP32" s="1019">
        <f>('Social Rent'!CJ30+'Market Rent'!CF30+'Affordable Rent'!CH30)</f>
        <v>-6335</v>
      </c>
      <c r="AQ32" s="1019">
        <f>('Social Rent'!CK30+'Market Rent'!CG30+'Affordable Rent'!CI30)</f>
        <v>-6525</v>
      </c>
      <c r="AR32" s="1019">
        <f>('Social Rent'!CL30+'Market Rent'!CH30+'Affordable Rent'!CJ30)</f>
        <v>-6721</v>
      </c>
      <c r="AS32" s="1019">
        <f>('Social Rent'!CM30+'Market Rent'!CI30+'Affordable Rent'!CK30)</f>
        <v>-6923</v>
      </c>
      <c r="AT32" s="1019">
        <f>('Social Rent'!CN30+'Market Rent'!CJ30+'Affordable Rent'!CL30)</f>
        <v>-7131</v>
      </c>
      <c r="AU32" s="1019">
        <f>('Social Rent'!CO30+'Market Rent'!CK30+'Affordable Rent'!CM30)</f>
        <v>-7345</v>
      </c>
      <c r="AV32" s="1019">
        <f>('Social Rent'!CP30+'Market Rent'!CL30+'Affordable Rent'!CN30)</f>
        <v>-7565</v>
      </c>
      <c r="AW32" s="1019">
        <f>('Social Rent'!CQ30+'Market Rent'!CM30+'Affordable Rent'!CO30)</f>
        <v>-7792</v>
      </c>
      <c r="AX32" s="1019">
        <f>('Social Rent'!CR30+'Market Rent'!CN30+'Affordable Rent'!CP30)</f>
        <v>-8026</v>
      </c>
      <c r="AY32" s="1019">
        <f>('Social Rent'!CS30+'Market Rent'!CO30+'Affordable Rent'!CQ30)</f>
        <v>-8267</v>
      </c>
      <c r="AZ32" s="1019">
        <f>('Social Rent'!CT30+'Market Rent'!CP30+'Affordable Rent'!CR30)</f>
        <v>-8515</v>
      </c>
      <c r="BA32" s="1019">
        <f>('Social Rent'!CU30+'Market Rent'!CQ30+'Affordable Rent'!CS30)</f>
        <v>-8770</v>
      </c>
      <c r="BB32" s="1019">
        <f>('Social Rent'!CV30+'Market Rent'!CR30+'Affordable Rent'!CT30)</f>
        <v>-9033</v>
      </c>
    </row>
    <row r="33" s="978" customFormat="1" ht="17" customHeight="1">
      <c r="A33" t="s" s="1027">
        <v>964</v>
      </c>
      <c r="B33" s="1028"/>
      <c r="C33" s="1019"/>
      <c r="D33" s="1019"/>
      <c r="E33" s="1019">
        <f>('Social Rent'!AY31+'Market Rent'!AU31+'Affordable Rent'!AW31)/12*$E$5</f>
        <v>-3200</v>
      </c>
      <c r="F33" s="1019">
        <f>('Social Rent'!AZ31+'Market Rent'!AV31+'Affordable Rent'!AX31)</f>
        <v>-3955</v>
      </c>
      <c r="G33" s="1019">
        <f>('Social Rent'!BA31+'Market Rent'!AW31+'Affordable Rent'!AY31)</f>
        <v>-4074</v>
      </c>
      <c r="H33" s="1019">
        <f>('Social Rent'!BB31+'Market Rent'!AX31+'Affordable Rent'!AZ31)</f>
        <v>-4196</v>
      </c>
      <c r="I33" s="1019">
        <f>('Social Rent'!BC31+'Market Rent'!AY31+'Affordable Rent'!BA31)</f>
        <v>-4322</v>
      </c>
      <c r="J33" s="1019">
        <f>('Social Rent'!BD31+'Market Rent'!AZ31+'Affordable Rent'!BB31)</f>
        <v>-4452</v>
      </c>
      <c r="K33" s="1019">
        <f>('Social Rent'!BE31+'Market Rent'!BA31+'Affordable Rent'!BC31)</f>
        <v>-4586</v>
      </c>
      <c r="L33" s="1019">
        <f>('Social Rent'!BF31+'Market Rent'!BB31+'Affordable Rent'!BD31)</f>
        <v>-4724</v>
      </c>
      <c r="M33" s="1019">
        <f>('Social Rent'!BG31+'Market Rent'!BC31+'Affordable Rent'!BE31)</f>
        <v>-4866</v>
      </c>
      <c r="N33" s="1019">
        <f>('Social Rent'!BH31+'Market Rent'!BD31+'Affordable Rent'!BF31)</f>
        <v>-5012</v>
      </c>
      <c r="O33" s="1019">
        <f>('Social Rent'!BI31+'Market Rent'!BE31+'Affordable Rent'!BG31)</f>
        <v>-5162</v>
      </c>
      <c r="P33" s="1019">
        <f>('Social Rent'!BJ31+'Market Rent'!BF31+'Affordable Rent'!BH31)</f>
        <v>-5317</v>
      </c>
      <c r="Q33" s="1019">
        <f>('Social Rent'!BK31+'Market Rent'!BG31+'Affordable Rent'!BI31)</f>
        <v>-5477</v>
      </c>
      <c r="R33" s="1019">
        <f>('Social Rent'!BL31+'Market Rent'!BH31+'Affordable Rent'!BJ31)</f>
        <v>-5641</v>
      </c>
      <c r="S33" s="1019">
        <f>('Social Rent'!BM31+'Market Rent'!BI31+'Affordable Rent'!BK31)</f>
        <v>-5810</v>
      </c>
      <c r="T33" s="1019">
        <f>('Social Rent'!BN31+'Market Rent'!BJ31+'Affordable Rent'!BL31)</f>
        <v>-5984</v>
      </c>
      <c r="U33" s="1019">
        <f>('Social Rent'!BO31+'Market Rent'!BK31+'Affordable Rent'!BM31)</f>
        <v>-6164</v>
      </c>
      <c r="V33" s="1019">
        <f>('Social Rent'!BP31+'Market Rent'!BL31+'Affordable Rent'!BN31)</f>
        <v>-6349</v>
      </c>
      <c r="W33" s="1019">
        <f>('Social Rent'!BQ31+'Market Rent'!BM31+'Affordable Rent'!BO31)</f>
        <v>-6539</v>
      </c>
      <c r="X33" s="1019">
        <f>('Social Rent'!BR31+'Market Rent'!BN31+'Affordable Rent'!BP31)</f>
        <v>-6735</v>
      </c>
      <c r="Y33" s="1019">
        <f>('Social Rent'!BS31+'Market Rent'!BO31+'Affordable Rent'!BQ31)</f>
        <v>-6937</v>
      </c>
      <c r="Z33" s="1019">
        <f>('Social Rent'!BT31+'Market Rent'!BP31+'Affordable Rent'!BR31)</f>
        <v>-7145</v>
      </c>
      <c r="AA33" s="1019">
        <f>('Social Rent'!BU31+'Market Rent'!BQ31+'Affordable Rent'!BS31)</f>
        <v>-7359</v>
      </c>
      <c r="AB33" s="1019">
        <f>('Social Rent'!BV31+'Market Rent'!BR31+'Affordable Rent'!BT31)</f>
        <v>-7580</v>
      </c>
      <c r="AC33" s="1019">
        <f>('Social Rent'!BW31+'Market Rent'!BS31+'Affordable Rent'!BU31)</f>
        <v>-7807</v>
      </c>
      <c r="AD33" s="1019">
        <f>('Social Rent'!BX31+'Market Rent'!BT31+'Affordable Rent'!BV31)</f>
        <v>-8041</v>
      </c>
      <c r="AE33" s="1019">
        <f>('Social Rent'!BY31+'Market Rent'!BU31+'Affordable Rent'!BW31)</f>
        <v>-8282</v>
      </c>
      <c r="AF33" s="1019">
        <f>('Social Rent'!BZ31+'Market Rent'!BV31+'Affordable Rent'!BX31)</f>
        <v>-8530</v>
      </c>
      <c r="AG33" s="1019">
        <f>('Social Rent'!CA31+'Market Rent'!BW31+'Affordable Rent'!BY31)</f>
        <v>-8786</v>
      </c>
      <c r="AH33" s="1019">
        <f>('Social Rent'!CB31+'Market Rent'!BX31+'Affordable Rent'!BZ31)</f>
        <v>-9050</v>
      </c>
      <c r="AI33" s="1019">
        <f>('Social Rent'!CC31+'Market Rent'!BY31+'Affordable Rent'!CA31)</f>
        <v>-9322</v>
      </c>
      <c r="AJ33" s="1019">
        <f>('Social Rent'!CD31+'Market Rent'!BZ31+'Affordable Rent'!CB31)</f>
        <v>-9602</v>
      </c>
      <c r="AK33" s="1019">
        <f>('Social Rent'!CE31+'Market Rent'!CA31+'Affordable Rent'!CC31)</f>
        <v>-9890</v>
      </c>
      <c r="AL33" s="1019">
        <f>('Social Rent'!CF31+'Market Rent'!CB31+'Affordable Rent'!CD31)</f>
        <v>-10187</v>
      </c>
      <c r="AM33" s="1019">
        <f>('Social Rent'!CG31+'Market Rent'!CC31+'Affordable Rent'!CE31)</f>
        <v>-10493</v>
      </c>
      <c r="AN33" s="1019">
        <f>('Social Rent'!CH31+'Market Rent'!CD31+'Affordable Rent'!CF31)</f>
        <v>-10808</v>
      </c>
      <c r="AO33" s="1019">
        <f>('Social Rent'!CI31+'Market Rent'!CE31+'Affordable Rent'!CG31)</f>
        <v>-11132</v>
      </c>
      <c r="AP33" s="1019">
        <f>('Social Rent'!CJ31+'Market Rent'!CF31+'Affordable Rent'!CH31)</f>
        <v>-11466</v>
      </c>
      <c r="AQ33" s="1019">
        <f>('Social Rent'!CK31+'Market Rent'!CG31+'Affordable Rent'!CI31)</f>
        <v>-11810</v>
      </c>
      <c r="AR33" s="1019">
        <f>('Social Rent'!CL31+'Market Rent'!CH31+'Affordable Rent'!CJ31)</f>
        <v>-12164</v>
      </c>
      <c r="AS33" s="1019">
        <f>('Social Rent'!CM31+'Market Rent'!CI31+'Affordable Rent'!CK31)</f>
        <v>-12529</v>
      </c>
      <c r="AT33" s="1019">
        <f>('Social Rent'!CN31+'Market Rent'!CJ31+'Affordable Rent'!CL31)</f>
        <v>-12905</v>
      </c>
      <c r="AU33" s="1019">
        <f>('Social Rent'!CO31+'Market Rent'!CK31+'Affordable Rent'!CM31)</f>
        <v>-13292</v>
      </c>
      <c r="AV33" s="1019">
        <f>('Social Rent'!CP31+'Market Rent'!CL31+'Affordable Rent'!CN31)</f>
        <v>-13691</v>
      </c>
      <c r="AW33" s="1019">
        <f>('Social Rent'!CQ31+'Market Rent'!CM31+'Affordable Rent'!CO31)</f>
        <v>-14102</v>
      </c>
      <c r="AX33" s="1019">
        <f>('Social Rent'!CR31+'Market Rent'!CN31+'Affordable Rent'!CP31)</f>
        <v>-14525</v>
      </c>
      <c r="AY33" s="1019">
        <f>('Social Rent'!CS31+'Market Rent'!CO31+'Affordable Rent'!CQ31)</f>
        <v>-14961</v>
      </c>
      <c r="AZ33" s="1019">
        <f>('Social Rent'!CT31+'Market Rent'!CP31+'Affordable Rent'!CR31)</f>
        <v>-15410</v>
      </c>
      <c r="BA33" s="1019">
        <f>('Social Rent'!CU31+'Market Rent'!CQ31+'Affordable Rent'!CS31)</f>
        <v>-15872</v>
      </c>
      <c r="BB33" s="1019">
        <f>('Social Rent'!CV31+'Market Rent'!CR31+'Affordable Rent'!CT31)</f>
        <v>-16348</v>
      </c>
    </row>
    <row r="34" s="978" customFormat="1" ht="17" customHeight="1">
      <c r="A34" t="s" s="1027">
        <v>1018</v>
      </c>
      <c r="B34" s="1028"/>
      <c r="C34" s="1019"/>
      <c r="D34" s="1019"/>
      <c r="E34" s="1019">
        <f>('Social Rent'!AY32+'Market Rent'!AU32+'Affordable Rent'!AW32)/12*$E$5</f>
        <v>0</v>
      </c>
      <c r="F34" s="1019">
        <f>('Social Rent'!AZ32+'Market Rent'!AV32+'Affordable Rent'!AX32)</f>
        <v>0</v>
      </c>
      <c r="G34" s="1019">
        <f>('Social Rent'!BA32+'Market Rent'!AW32+'Affordable Rent'!AY32)</f>
        <v>0</v>
      </c>
      <c r="H34" s="1019">
        <f>('Social Rent'!BB32+'Market Rent'!AX32+'Affordable Rent'!AZ32)</f>
        <v>-1946.136</v>
      </c>
      <c r="I34" s="1019">
        <f>('Social Rent'!BC32+'Market Rent'!AY32+'Affordable Rent'!BA32)</f>
        <v>-1946.136</v>
      </c>
      <c r="J34" s="1019">
        <f>('Social Rent'!BD32+'Market Rent'!AZ32+'Affordable Rent'!BB32)</f>
        <v>-1946.136</v>
      </c>
      <c r="K34" s="1019">
        <f>('Social Rent'!BE32+'Market Rent'!BA32+'Affordable Rent'!BC32)</f>
        <v>-2311.0365</v>
      </c>
      <c r="L34" s="1019">
        <f>('Social Rent'!BF32+'Market Rent'!BB32+'Affordable Rent'!BD32)</f>
        <v>-2311.0365</v>
      </c>
      <c r="M34" s="1019">
        <f>('Social Rent'!BG32+'Market Rent'!BC32+'Affordable Rent'!BE32)</f>
        <v>-2311.0365</v>
      </c>
      <c r="N34" s="1019">
        <f>('Social Rent'!BH32+'Market Rent'!BD32+'Affordable Rent'!BF32)</f>
        <v>-2797.5705</v>
      </c>
      <c r="O34" s="1019">
        <f>('Social Rent'!BI32+'Market Rent'!BE32+'Affordable Rent'!BG32)</f>
        <v>-2797.5705</v>
      </c>
      <c r="P34" s="1019">
        <f>('Social Rent'!BJ32+'Market Rent'!BF32+'Affordable Rent'!BH32)</f>
        <v>-2797.5705</v>
      </c>
      <c r="Q34" s="1019">
        <f>('Social Rent'!BK32+'Market Rent'!BG32+'Affordable Rent'!BI32)</f>
        <v>-3405.738</v>
      </c>
      <c r="R34" s="1019">
        <f>('Social Rent'!BL32+'Market Rent'!BH32+'Affordable Rent'!BJ32)</f>
        <v>-3405.738</v>
      </c>
      <c r="S34" s="1019">
        <f>('Social Rent'!BM32+'Market Rent'!BI32+'Affordable Rent'!BK32)</f>
        <v>-3405.738</v>
      </c>
      <c r="T34" s="1019">
        <f>('Social Rent'!BN32+'Market Rent'!BJ32+'Affordable Rent'!BL32)</f>
        <v>-4013.9055</v>
      </c>
      <c r="U34" s="1019">
        <f>('Social Rent'!BO32+'Market Rent'!BK32+'Affordable Rent'!BM32)</f>
        <v>-4013.9055</v>
      </c>
      <c r="V34" s="1019">
        <f>('Social Rent'!BP32+'Market Rent'!BL32+'Affordable Rent'!BN32)</f>
        <v>-4013.9055</v>
      </c>
      <c r="W34" s="1019">
        <f>('Social Rent'!BQ32+'Market Rent'!BM32+'Affordable Rent'!BO32)</f>
        <v>-4865.34</v>
      </c>
      <c r="X34" s="1019">
        <f>('Social Rent'!BR32+'Market Rent'!BN32+'Affordable Rent'!BP32)</f>
        <v>-4865.34</v>
      </c>
      <c r="Y34" s="1019">
        <f>('Social Rent'!BS32+'Market Rent'!BO32+'Affordable Rent'!BQ32)</f>
        <v>-4865.34</v>
      </c>
      <c r="Z34" s="1019">
        <f>('Social Rent'!BT32+'Market Rent'!BP32+'Affordable Rent'!BR32)</f>
        <v>-5838.408</v>
      </c>
      <c r="AA34" s="1019">
        <f>('Social Rent'!BU32+'Market Rent'!BQ32+'Affordable Rent'!BS32)</f>
        <v>-5838.408</v>
      </c>
      <c r="AB34" s="1019">
        <f>('Social Rent'!BV32+'Market Rent'!BR32+'Affordable Rent'!BT32)</f>
        <v>-5838.408</v>
      </c>
      <c r="AC34" s="1019">
        <f>('Social Rent'!BW32+'Market Rent'!BS32+'Affordable Rent'!BU32)</f>
        <v>-6933.1095</v>
      </c>
      <c r="AD34" s="1019">
        <f>('Social Rent'!BX32+'Market Rent'!BT32+'Affordable Rent'!BV32)</f>
        <v>-6933.1095</v>
      </c>
      <c r="AE34" s="1019">
        <f>('Social Rent'!BY32+'Market Rent'!BU32+'Affordable Rent'!BW32)</f>
        <v>-6933.1095</v>
      </c>
      <c r="AF34" s="1019">
        <f>('Social Rent'!BZ32+'Market Rent'!BV32+'Affordable Rent'!BX32)</f>
        <v>-8392.711500000001</v>
      </c>
      <c r="AG34" s="1019">
        <f>('Social Rent'!CA32+'Market Rent'!BW32+'Affordable Rent'!BY32)</f>
        <v>-8392.711500000001</v>
      </c>
      <c r="AH34" s="1019">
        <f>('Social Rent'!CB32+'Market Rent'!BX32+'Affordable Rent'!BZ32)</f>
        <v>-8514.345000000001</v>
      </c>
      <c r="AI34" s="1019">
        <f>('Social Rent'!CC32+'Market Rent'!BY32+'Affordable Rent'!CA32)</f>
        <v>-19480</v>
      </c>
      <c r="AJ34" s="1019">
        <f>('Social Rent'!CD32+'Market Rent'!BZ32+'Affordable Rent'!CB32)</f>
        <v>-20064.4</v>
      </c>
      <c r="AK34" s="1019">
        <f>('Social Rent'!CE32+'Market Rent'!CA32+'Affordable Rent'!CC32)</f>
        <v>-20666.332</v>
      </c>
      <c r="AL34" s="1019">
        <f>('Social Rent'!CF32+'Market Rent'!CB32+'Affordable Rent'!CD32)</f>
        <v>-21286.32196</v>
      </c>
      <c r="AM34" s="1019">
        <f>('Social Rent'!CG32+'Market Rent'!CC32+'Affordable Rent'!CE32)</f>
        <v>-21924.9116188</v>
      </c>
      <c r="AN34" s="1019">
        <f>('Social Rent'!CH32+'Market Rent'!CD32+'Affordable Rent'!CF32)</f>
        <v>-22582.658967364</v>
      </c>
      <c r="AO34" s="1019">
        <f>('Social Rent'!CI32+'Market Rent'!CE32+'Affordable Rent'!CG32)</f>
        <v>-23260.138736384921</v>
      </c>
      <c r="AP34" s="1019">
        <f>('Social Rent'!CJ32+'Market Rent'!CF32+'Affordable Rent'!CH32)</f>
        <v>-23957.942898476467</v>
      </c>
      <c r="AQ34" s="1019">
        <f>('Social Rent'!CK32+'Market Rent'!CG32+'Affordable Rent'!CI32)</f>
        <v>-24676.681185430763</v>
      </c>
      <c r="AR34" s="1019">
        <f>('Social Rent'!CL32+'Market Rent'!CH32+'Affordable Rent'!CJ32)</f>
        <v>-25416.981620993687</v>
      </c>
      <c r="AS34" s="1019">
        <f>('Social Rent'!CM32+'Market Rent'!CI32+'Affordable Rent'!CK32)</f>
        <v>-26179.4910696235</v>
      </c>
      <c r="AT34" s="1019">
        <f>('Social Rent'!CN32+'Market Rent'!CJ32+'Affordable Rent'!CL32)</f>
        <v>-26964.875801712205</v>
      </c>
      <c r="AU34" s="1019">
        <f>('Social Rent'!CO32+'Market Rent'!CK32+'Affordable Rent'!CM32)</f>
        <v>-27773.822075763572</v>
      </c>
      <c r="AV34" s="1019">
        <f>('Social Rent'!CP32+'Market Rent'!CL32+'Affordable Rent'!CN32)</f>
        <v>-28607.036738036481</v>
      </c>
      <c r="AW34" s="1019">
        <f>('Social Rent'!CQ32+'Market Rent'!CM32+'Affordable Rent'!CO32)</f>
        <v>-29465.247840177577</v>
      </c>
      <c r="AX34" s="1019">
        <f>('Social Rent'!CR32+'Market Rent'!CN32+'Affordable Rent'!CP32)</f>
        <v>-30349.2052753829</v>
      </c>
      <c r="AY34" s="1019">
        <f>('Social Rent'!CS32+'Market Rent'!CO32+'Affordable Rent'!CQ32)</f>
        <v>-31259.681433644393</v>
      </c>
      <c r="AZ34" s="1019">
        <f>('Social Rent'!CT32+'Market Rent'!CP32+'Affordable Rent'!CR32)</f>
        <v>-32197.471876653726</v>
      </c>
      <c r="BA34" s="1019">
        <f>('Social Rent'!CU32+'Market Rent'!CQ32+'Affordable Rent'!CS32)</f>
        <v>-33163.396032953337</v>
      </c>
      <c r="BB34" s="1019">
        <f>('Social Rent'!CV32+'Market Rent'!CR32+'Affordable Rent'!CT32)</f>
        <v>-34158.297913941940</v>
      </c>
    </row>
    <row r="35" s="978" customFormat="1" ht="17" customHeight="1">
      <c r="A35" s="1028"/>
      <c r="B35" s="1028"/>
      <c r="C35" s="1019"/>
      <c r="D35" s="1019"/>
      <c r="E35" s="1019"/>
      <c r="F35" s="1019"/>
      <c r="G35" s="1019"/>
      <c r="H35" s="1019"/>
      <c r="I35" s="1019"/>
      <c r="J35" s="1019"/>
      <c r="K35" s="1019"/>
      <c r="L35" s="1019"/>
      <c r="M35" s="1019"/>
      <c r="N35" s="1019"/>
      <c r="O35" s="1019"/>
      <c r="P35" s="1019"/>
      <c r="Q35" s="1019"/>
      <c r="R35" s="1019"/>
      <c r="S35" s="1019"/>
      <c r="T35" s="1019"/>
      <c r="U35" s="1019"/>
      <c r="V35" s="1019"/>
      <c r="W35" s="1019"/>
      <c r="X35" s="1019"/>
      <c r="Y35" s="1019"/>
      <c r="Z35" s="1019"/>
      <c r="AA35" s="1019"/>
      <c r="AB35" s="1019"/>
      <c r="AC35" s="1019"/>
      <c r="AD35" s="1019"/>
      <c r="AE35" s="1019"/>
      <c r="AF35" s="1019"/>
      <c r="AG35" s="1019"/>
      <c r="AH35" s="1019"/>
      <c r="AI35" s="1019"/>
      <c r="AJ35" s="1019"/>
      <c r="AK35" s="1019"/>
      <c r="AL35" s="1019"/>
      <c r="AM35" s="1019"/>
      <c r="AN35" s="1019"/>
      <c r="AO35" s="1019"/>
      <c r="AP35" s="1019"/>
      <c r="AQ35" s="1019"/>
      <c r="AR35" s="1019"/>
      <c r="AS35" s="1019"/>
      <c r="AT35" s="1019"/>
      <c r="AU35" s="1019"/>
      <c r="AV35" s="1019"/>
      <c r="AW35" s="1019"/>
      <c r="AX35" s="1019"/>
      <c r="AY35" s="1019"/>
      <c r="AZ35" s="1019"/>
      <c r="BA35" s="1019"/>
      <c r="BB35" s="1019"/>
    </row>
    <row r="36" s="978" customFormat="1" ht="17" customHeight="1">
      <c r="A36" t="s" s="1027">
        <v>105</v>
      </c>
      <c r="B36" s="1028"/>
      <c r="C36" s="1019"/>
      <c r="D36" s="1019"/>
      <c r="E36" s="1019"/>
      <c r="F36" s="1019"/>
      <c r="G36" s="1019"/>
      <c r="H36" s="1019"/>
      <c r="I36" s="1019"/>
      <c r="J36" s="1019"/>
      <c r="K36" s="1019"/>
      <c r="L36" s="1019"/>
      <c r="M36" s="1019"/>
      <c r="N36" s="1019"/>
      <c r="O36" s="1019"/>
      <c r="P36" s="1019"/>
      <c r="Q36" s="1019"/>
      <c r="R36" s="1019"/>
      <c r="S36" s="1019"/>
      <c r="T36" s="1019"/>
      <c r="U36" s="1019"/>
      <c r="V36" s="1019"/>
      <c r="W36" s="1019"/>
      <c r="X36" s="1019"/>
      <c r="Y36" s="1019"/>
      <c r="Z36" s="1019"/>
      <c r="AA36" s="1019"/>
      <c r="AB36" s="1019"/>
      <c r="AC36" s="1019"/>
      <c r="AD36" s="1019"/>
      <c r="AE36" s="1019"/>
      <c r="AF36" s="1019"/>
      <c r="AG36" s="1019"/>
      <c r="AH36" s="1019"/>
      <c r="AI36" s="1019"/>
      <c r="AJ36" s="1019"/>
      <c r="AK36" s="1019"/>
      <c r="AL36" s="1019"/>
      <c r="AM36" s="1019"/>
      <c r="AN36" s="1019"/>
      <c r="AO36" s="1019"/>
      <c r="AP36" s="1019"/>
      <c r="AQ36" s="1019"/>
      <c r="AR36" s="1019"/>
      <c r="AS36" s="1019"/>
      <c r="AT36" s="1019"/>
      <c r="AU36" s="1019"/>
      <c r="AV36" s="1019"/>
      <c r="AW36" s="1019"/>
      <c r="AX36" s="1019"/>
      <c r="AY36" s="1019"/>
      <c r="AZ36" s="1019"/>
      <c r="BA36" s="1019"/>
      <c r="BB36" s="1019"/>
    </row>
    <row r="37" s="978" customFormat="1" ht="17" customHeight="1">
      <c r="A37" t="s" s="1027">
        <v>962</v>
      </c>
      <c r="B37" s="1028"/>
      <c r="C37" s="1019"/>
      <c r="D37" s="1019"/>
      <c r="E37" s="1019">
        <f>'Commercial'!AF30/12*E5</f>
        <v>0</v>
      </c>
      <c r="F37" s="1019">
        <f>'Commercial'!AG30</f>
        <v>0</v>
      </c>
      <c r="G37" s="1019">
        <f>'Commercial'!AH30</f>
        <v>0</v>
      </c>
      <c r="H37" s="1019">
        <f>'Commercial'!AI30</f>
        <v>0</v>
      </c>
      <c r="I37" s="1019">
        <f>'Commercial'!AJ30</f>
        <v>0</v>
      </c>
      <c r="J37" s="1019">
        <f>'Commercial'!AK30</f>
        <v>0</v>
      </c>
      <c r="K37" s="1019">
        <f>'Commercial'!AL30</f>
        <v>0</v>
      </c>
      <c r="L37" s="1019">
        <f>'Commercial'!AM30</f>
        <v>0</v>
      </c>
      <c r="M37" s="1019">
        <f>'Commercial'!AN30</f>
        <v>0</v>
      </c>
      <c r="N37" s="1019">
        <f>'Commercial'!AO30</f>
        <v>0</v>
      </c>
      <c r="O37" s="1019">
        <f>'Commercial'!AP30</f>
        <v>0</v>
      </c>
      <c r="P37" s="1019">
        <f>'Commercial'!AQ30</f>
        <v>0</v>
      </c>
      <c r="Q37" s="1019">
        <f>'Commercial'!AR30</f>
        <v>0</v>
      </c>
      <c r="R37" s="1019">
        <f>'Commercial'!AS30</f>
        <v>0</v>
      </c>
      <c r="S37" s="1019">
        <f>'Commercial'!AT30</f>
        <v>0</v>
      </c>
      <c r="T37" s="1019">
        <f>'Commercial'!AU30</f>
        <v>0</v>
      </c>
      <c r="U37" s="1019">
        <f>'Commercial'!AV30</f>
        <v>0</v>
      </c>
      <c r="V37" s="1019">
        <f>'Commercial'!AW30</f>
        <v>0</v>
      </c>
      <c r="W37" s="1019">
        <f>'Commercial'!AX30</f>
        <v>0</v>
      </c>
      <c r="X37" s="1019">
        <f>'Commercial'!AY30</f>
        <v>0</v>
      </c>
      <c r="Y37" s="1019">
        <f>'Commercial'!AZ30</f>
        <v>0</v>
      </c>
      <c r="Z37" s="1019">
        <f>'Commercial'!BA30</f>
        <v>0</v>
      </c>
      <c r="AA37" s="1019">
        <f>'Commercial'!BB30</f>
        <v>0</v>
      </c>
      <c r="AB37" s="1019">
        <f>'Commercial'!BC30</f>
        <v>0</v>
      </c>
      <c r="AC37" s="1019">
        <f>'Commercial'!BD30</f>
        <v>0</v>
      </c>
      <c r="AD37" s="1019">
        <f>'Commercial'!BE30</f>
        <v>0</v>
      </c>
      <c r="AE37" s="1019">
        <f>'Commercial'!BF30</f>
        <v>0</v>
      </c>
      <c r="AF37" s="1019">
        <f>'Commercial'!BG30</f>
        <v>0</v>
      </c>
      <c r="AG37" s="1019">
        <f>'Commercial'!BH30</f>
        <v>0</v>
      </c>
      <c r="AH37" s="1019">
        <f>'Commercial'!BI30</f>
        <v>0</v>
      </c>
      <c r="AI37" s="1019">
        <f>'Commercial'!BJ30</f>
        <v>0</v>
      </c>
      <c r="AJ37" s="1019">
        <f>'Commercial'!BK30</f>
        <v>0</v>
      </c>
      <c r="AK37" s="1019">
        <f>'Commercial'!BL30</f>
        <v>0</v>
      </c>
      <c r="AL37" s="1019">
        <f>'Commercial'!BM30</f>
        <v>0</v>
      </c>
      <c r="AM37" s="1019">
        <f>'Commercial'!BN30</f>
        <v>0</v>
      </c>
      <c r="AN37" s="1019">
        <f>'Commercial'!BO30</f>
        <v>0</v>
      </c>
      <c r="AO37" s="1019">
        <f>'Commercial'!BP30</f>
        <v>0</v>
      </c>
      <c r="AP37" s="1019">
        <f>'Commercial'!BQ30</f>
        <v>0</v>
      </c>
      <c r="AQ37" s="1019">
        <f>'Commercial'!BR30</f>
        <v>0</v>
      </c>
      <c r="AR37" s="1019">
        <f>'Commercial'!BS30</f>
        <v>0</v>
      </c>
      <c r="AS37" s="1019">
        <f>'Commercial'!BT30</f>
        <v>0</v>
      </c>
      <c r="AT37" s="1019">
        <f>'Commercial'!BU30</f>
        <v>0</v>
      </c>
      <c r="AU37" s="1019">
        <f>'Commercial'!BV30</f>
        <v>0</v>
      </c>
      <c r="AV37" s="1019">
        <f>'Commercial'!BW30</f>
        <v>0</v>
      </c>
      <c r="AW37" s="1019">
        <f>'Commercial'!BX30</f>
        <v>0</v>
      </c>
      <c r="AX37" s="1019">
        <f>'Commercial'!BY30</f>
        <v>0</v>
      </c>
      <c r="AY37" s="1019">
        <f>'Commercial'!BZ30</f>
        <v>0</v>
      </c>
      <c r="AZ37" s="1019">
        <f>'Commercial'!CA30</f>
        <v>0</v>
      </c>
      <c r="BA37" s="1019">
        <f>'Commercial'!CB30</f>
        <v>0</v>
      </c>
      <c r="BB37" s="1019">
        <f>'Commercial'!CC30</f>
        <v>0</v>
      </c>
    </row>
    <row r="38" s="978" customFormat="1" ht="17" customHeight="1">
      <c r="A38" t="s" s="1027">
        <v>964</v>
      </c>
      <c r="B38" s="1028"/>
      <c r="C38" s="1019"/>
      <c r="D38" s="1019"/>
      <c r="E38" s="1019">
        <f>'Commercial'!AF31/12*E5</f>
        <v>0</v>
      </c>
      <c r="F38" s="1019">
        <f>'Commercial'!AG31</f>
        <v>0</v>
      </c>
      <c r="G38" s="1019">
        <f>'Commercial'!AH31</f>
        <v>0</v>
      </c>
      <c r="H38" s="1019">
        <f>'Commercial'!AI31</f>
        <v>0</v>
      </c>
      <c r="I38" s="1019">
        <f>'Commercial'!AJ31</f>
        <v>0</v>
      </c>
      <c r="J38" s="1019">
        <f>'Commercial'!AK31</f>
        <v>0</v>
      </c>
      <c r="K38" s="1019">
        <f>'Commercial'!AL31</f>
        <v>0</v>
      </c>
      <c r="L38" s="1019">
        <f>'Commercial'!AM31</f>
        <v>0</v>
      </c>
      <c r="M38" s="1019">
        <f>'Commercial'!AN31</f>
        <v>0</v>
      </c>
      <c r="N38" s="1019">
        <f>'Commercial'!AO31</f>
        <v>0</v>
      </c>
      <c r="O38" s="1019">
        <f>'Commercial'!AP31</f>
        <v>0</v>
      </c>
      <c r="P38" s="1019">
        <f>'Commercial'!AQ31</f>
        <v>0</v>
      </c>
      <c r="Q38" s="1019">
        <f>'Commercial'!AR31</f>
        <v>0</v>
      </c>
      <c r="R38" s="1019">
        <f>'Commercial'!AS31</f>
        <v>0</v>
      </c>
      <c r="S38" s="1019">
        <f>'Commercial'!AT31</f>
        <v>0</v>
      </c>
      <c r="T38" s="1019">
        <f>'Commercial'!AU31</f>
        <v>0</v>
      </c>
      <c r="U38" s="1019">
        <f>'Commercial'!AV31</f>
        <v>0</v>
      </c>
      <c r="V38" s="1019">
        <f>'Commercial'!AW31</f>
        <v>0</v>
      </c>
      <c r="W38" s="1019">
        <f>'Commercial'!AX31</f>
        <v>0</v>
      </c>
      <c r="X38" s="1019">
        <f>'Commercial'!AY31</f>
        <v>0</v>
      </c>
      <c r="Y38" s="1019">
        <f>'Commercial'!AZ31</f>
        <v>0</v>
      </c>
      <c r="Z38" s="1019">
        <f>'Commercial'!BA31</f>
        <v>0</v>
      </c>
      <c r="AA38" s="1019">
        <f>'Commercial'!BB31</f>
        <v>0</v>
      </c>
      <c r="AB38" s="1019">
        <f>'Commercial'!BC31</f>
        <v>0</v>
      </c>
      <c r="AC38" s="1019">
        <f>'Commercial'!BD31</f>
        <v>0</v>
      </c>
      <c r="AD38" s="1019">
        <f>'Commercial'!BE31</f>
        <v>0</v>
      </c>
      <c r="AE38" s="1019">
        <f>'Commercial'!BF31</f>
        <v>0</v>
      </c>
      <c r="AF38" s="1019">
        <f>'Commercial'!BG31</f>
        <v>0</v>
      </c>
      <c r="AG38" s="1019">
        <f>'Commercial'!BH31</f>
        <v>0</v>
      </c>
      <c r="AH38" s="1019">
        <f>'Commercial'!BI31</f>
        <v>0</v>
      </c>
      <c r="AI38" s="1019">
        <f>'Commercial'!BJ31</f>
        <v>0</v>
      </c>
      <c r="AJ38" s="1019">
        <f>'Commercial'!BK31</f>
        <v>0</v>
      </c>
      <c r="AK38" s="1019">
        <f>'Commercial'!BL31</f>
        <v>0</v>
      </c>
      <c r="AL38" s="1019">
        <f>'Commercial'!BM31</f>
        <v>0</v>
      </c>
      <c r="AM38" s="1019">
        <f>'Commercial'!BN31</f>
        <v>0</v>
      </c>
      <c r="AN38" s="1019">
        <f>'Commercial'!BO31</f>
        <v>0</v>
      </c>
      <c r="AO38" s="1019">
        <f>'Commercial'!BP31</f>
        <v>0</v>
      </c>
      <c r="AP38" s="1019">
        <f>'Commercial'!BQ31</f>
        <v>0</v>
      </c>
      <c r="AQ38" s="1019">
        <f>'Commercial'!BR31</f>
        <v>0</v>
      </c>
      <c r="AR38" s="1019">
        <f>'Commercial'!BS31</f>
        <v>0</v>
      </c>
      <c r="AS38" s="1019">
        <f>'Commercial'!BT31</f>
        <v>0</v>
      </c>
      <c r="AT38" s="1019">
        <f>'Commercial'!BU31</f>
        <v>0</v>
      </c>
      <c r="AU38" s="1019">
        <f>'Commercial'!BV31</f>
        <v>0</v>
      </c>
      <c r="AV38" s="1019">
        <f>'Commercial'!BW31</f>
        <v>0</v>
      </c>
      <c r="AW38" s="1019">
        <f>'Commercial'!BX31</f>
        <v>0</v>
      </c>
      <c r="AX38" s="1019">
        <f>'Commercial'!BY31</f>
        <v>0</v>
      </c>
      <c r="AY38" s="1019">
        <f>'Commercial'!BZ31</f>
        <v>0</v>
      </c>
      <c r="AZ38" s="1019">
        <f>'Commercial'!CA31</f>
        <v>0</v>
      </c>
      <c r="BA38" s="1019">
        <f>'Commercial'!CB31</f>
        <v>0</v>
      </c>
      <c r="BB38" s="1019">
        <f>'Commercial'!CC31</f>
        <v>0</v>
      </c>
    </row>
    <row r="39" s="978" customFormat="1" ht="17" customHeight="1">
      <c r="A39" s="1021"/>
      <c r="B39" s="1021"/>
      <c r="C39" s="1022"/>
      <c r="D39" s="1022"/>
      <c r="E39" s="1022"/>
      <c r="F39" s="1022"/>
      <c r="G39" s="1022"/>
      <c r="H39" s="1022"/>
      <c r="I39" s="1022"/>
      <c r="J39" s="1022"/>
      <c r="K39" s="1022"/>
      <c r="L39" s="1022"/>
      <c r="M39" s="1022"/>
      <c r="N39" s="1022"/>
      <c r="O39" s="1022"/>
      <c r="P39" s="1022"/>
      <c r="Q39" s="1022"/>
      <c r="R39" s="1022"/>
      <c r="S39" s="1022"/>
      <c r="T39" s="1022"/>
      <c r="U39" s="1022"/>
      <c r="V39" s="1022"/>
      <c r="W39" s="1022"/>
      <c r="X39" s="1022"/>
      <c r="Y39" s="1022"/>
      <c r="Z39" s="1022"/>
      <c r="AA39" s="1022"/>
      <c r="AB39" s="1022"/>
      <c r="AC39" s="1022"/>
      <c r="AD39" s="1022"/>
      <c r="AE39" s="1022"/>
      <c r="AF39" s="1022"/>
      <c r="AG39" s="1022"/>
      <c r="AH39" s="1022"/>
      <c r="AI39" s="1022"/>
      <c r="AJ39" s="1022"/>
      <c r="AK39" s="1022"/>
      <c r="AL39" s="1022"/>
      <c r="AM39" s="1022"/>
      <c r="AN39" s="1022"/>
      <c r="AO39" s="1022"/>
      <c r="AP39" s="1022"/>
      <c r="AQ39" s="1022"/>
      <c r="AR39" s="1022"/>
      <c r="AS39" s="1022"/>
      <c r="AT39" s="1022"/>
      <c r="AU39" s="1022"/>
      <c r="AV39" s="1022"/>
      <c r="AW39" s="1022"/>
      <c r="AX39" s="1022"/>
      <c r="AY39" s="1022"/>
      <c r="AZ39" s="1022"/>
      <c r="BA39" s="1022"/>
      <c r="BB39" s="1022"/>
    </row>
    <row r="40" s="1011" customFormat="1" ht="15.75" customHeight="1">
      <c r="A40" t="s" s="1023">
        <v>1019</v>
      </c>
      <c r="B40" s="1024"/>
      <c r="C40" s="1025">
        <f>SUM(C30:C39)</f>
        <v>0</v>
      </c>
      <c r="D40" s="1025">
        <f>SUM(D30:D39)</f>
        <v>-1214718</v>
      </c>
      <c r="E40" s="1025">
        <f>SUM(E30:E39)</f>
        <v>-229512.6666666667</v>
      </c>
      <c r="F40" s="1025">
        <f>SUM(F30:F39)</f>
        <v>-6139</v>
      </c>
      <c r="G40" s="1025">
        <f>SUM(G30:G39)</f>
        <v>-6324</v>
      </c>
      <c r="H40" s="1025">
        <f>SUM(H30:H39)</f>
        <v>-8460.136</v>
      </c>
      <c r="I40" s="1025">
        <f>SUM(I30:I39)</f>
        <v>-8656.136</v>
      </c>
      <c r="J40" s="1025">
        <f>SUM(J30:J39)</f>
        <v>-8858.136</v>
      </c>
      <c r="K40" s="1025">
        <f>SUM(K30:K39)</f>
        <v>-9431.0365</v>
      </c>
      <c r="L40" s="1025">
        <f>SUM(L30:L39)</f>
        <v>-9645.0365</v>
      </c>
      <c r="M40" s="1025">
        <f>SUM(M30:M39)</f>
        <v>-9865.0365</v>
      </c>
      <c r="N40" s="1025">
        <f>SUM(N30:N39)</f>
        <v>-10578.5705</v>
      </c>
      <c r="O40" s="1025">
        <f>SUM(O30:O39)</f>
        <v>-10811.5705</v>
      </c>
      <c r="P40" s="1025">
        <f>SUM(P30:P39)</f>
        <v>-11052.5705</v>
      </c>
      <c r="Q40" s="1025">
        <f>SUM(Q30:Q39)</f>
        <v>-11908.738</v>
      </c>
      <c r="R40" s="1025">
        <f>SUM(R30:R39)</f>
        <v>-12163.738</v>
      </c>
      <c r="S40" s="1025">
        <f>SUM(S30:S39)</f>
        <v>-12426.738</v>
      </c>
      <c r="T40" s="1025">
        <f>SUM(T30:T39)</f>
        <v>-13304.9055</v>
      </c>
      <c r="U40" s="1025">
        <f>SUM(U30:U39)</f>
        <v>-13583.9055</v>
      </c>
      <c r="V40" s="1025">
        <f>SUM(V30:V39)</f>
        <v>-13870.9055</v>
      </c>
      <c r="W40" s="1025">
        <f>SUM(W30:W39)</f>
        <v>-15017.34</v>
      </c>
      <c r="X40" s="1025">
        <f>SUM(X30:X39)</f>
        <v>-15321.34</v>
      </c>
      <c r="Y40" s="1025">
        <f>SUM(Y30:Y39)</f>
        <v>-15635.34</v>
      </c>
      <c r="Z40" s="1025">
        <f>SUM(Z30:Z39)</f>
        <v>-16931.408</v>
      </c>
      <c r="AA40" s="1025">
        <f>SUM(AA30:AA39)</f>
        <v>-17263.408</v>
      </c>
      <c r="AB40" s="1025">
        <f>SUM(AB30:AB39)</f>
        <v>-17606.408</v>
      </c>
      <c r="AC40" s="1025">
        <f>SUM(AC30:AC39)</f>
        <v>-19054.1095</v>
      </c>
      <c r="AD40" s="1025">
        <f>SUM(AD30:AD39)</f>
        <v>-19417.1095</v>
      </c>
      <c r="AE40" s="1025">
        <f>SUM(AE30:AE39)</f>
        <v>-19791.1095</v>
      </c>
      <c r="AF40" s="1025">
        <f>SUM(AF30:AF39)</f>
        <v>-21635.7115</v>
      </c>
      <c r="AG40" s="1025">
        <f>SUM(AG30:AG39)</f>
        <v>-22032.7115</v>
      </c>
      <c r="AH40" s="1025">
        <f>SUM(AH30:AH39)</f>
        <v>-22564.345</v>
      </c>
      <c r="AI40" s="1025">
        <f>SUM(AI30:AI39)</f>
        <v>-33952</v>
      </c>
      <c r="AJ40" s="1025">
        <f>SUM(AJ30:AJ39)</f>
        <v>-34971.4</v>
      </c>
      <c r="AK40" s="1025">
        <f>SUM(AK30:AK39)</f>
        <v>-36020.332</v>
      </c>
      <c r="AL40" s="1025">
        <f>SUM(AL30:AL39)</f>
        <v>-37101.32196</v>
      </c>
      <c r="AM40" s="1025">
        <f>SUM(AM30:AM39)</f>
        <v>-38214.9116188</v>
      </c>
      <c r="AN40" s="1025">
        <f>SUM(AN30:AN39)</f>
        <v>-39361.658967364</v>
      </c>
      <c r="AO40" s="1025">
        <f>SUM(AO30:AO39)</f>
        <v>-40542.138736384921</v>
      </c>
      <c r="AP40" s="1025">
        <f>SUM(AP30:AP39)</f>
        <v>-41758.942898476467</v>
      </c>
      <c r="AQ40" s="1025">
        <f>SUM(AQ30:AQ39)</f>
        <v>-43011.681185430760</v>
      </c>
      <c r="AR40" s="1025">
        <f>SUM(AR30:AR39)</f>
        <v>-44301.981620993683</v>
      </c>
      <c r="AS40" s="1025">
        <f>SUM(AS30:AS39)</f>
        <v>-45631.4910696235</v>
      </c>
      <c r="AT40" s="1025">
        <f>SUM(AT30:AT39)</f>
        <v>-47000.8758017122</v>
      </c>
      <c r="AU40" s="1025">
        <f>SUM(AU30:AU39)</f>
        <v>-48410.822075763572</v>
      </c>
      <c r="AV40" s="1025">
        <f>SUM(AV30:AV39)</f>
        <v>-49863.036738036477</v>
      </c>
      <c r="AW40" s="1025">
        <f>SUM(AW30:AW39)</f>
        <v>-51359.247840177573</v>
      </c>
      <c r="AX40" s="1025">
        <f>SUM(AX30:AX39)</f>
        <v>-52900.2052753829</v>
      </c>
      <c r="AY40" s="1025">
        <f>SUM(AY30:AY39)</f>
        <v>-54487.681433644393</v>
      </c>
      <c r="AZ40" s="1025">
        <f>SUM(AZ30:AZ39)</f>
        <v>-56122.471876653726</v>
      </c>
      <c r="BA40" s="1025">
        <f>SUM(BA30:BA39)</f>
        <v>-57805.396032953337</v>
      </c>
      <c r="BB40" s="1025">
        <f>SUM(BB30:BB39)</f>
        <v>-59539.297913941940</v>
      </c>
    </row>
    <row r="41" s="978" customFormat="1" ht="15.75" customHeight="1">
      <c r="A41" s="1016"/>
      <c r="B41" s="1016"/>
      <c r="C41" s="1029"/>
      <c r="D41" s="1029"/>
      <c r="E41" s="1029"/>
      <c r="F41" s="1029"/>
      <c r="G41" s="1029"/>
      <c r="H41" s="1029"/>
      <c r="I41" s="1029"/>
      <c r="J41" s="1029"/>
      <c r="K41" s="1029"/>
      <c r="L41" s="1029"/>
      <c r="M41" s="1029"/>
      <c r="N41" s="1029"/>
      <c r="O41" s="1029"/>
      <c r="P41" s="1029"/>
      <c r="Q41" s="1029"/>
      <c r="R41" s="1029"/>
      <c r="S41" s="1029"/>
      <c r="T41" s="1029"/>
      <c r="U41" s="1029"/>
      <c r="V41" s="1029"/>
      <c r="W41" s="1029"/>
      <c r="X41" s="1029"/>
      <c r="Y41" s="1029"/>
      <c r="Z41" s="1029"/>
      <c r="AA41" s="1029"/>
      <c r="AB41" s="1029"/>
      <c r="AC41" s="1029"/>
      <c r="AD41" s="1029"/>
      <c r="AE41" s="1029"/>
      <c r="AF41" s="1029"/>
      <c r="AG41" s="1029"/>
      <c r="AH41" s="1029"/>
      <c r="AI41" s="1029"/>
      <c r="AJ41" s="1029"/>
      <c r="AK41" s="1029"/>
      <c r="AL41" s="1029"/>
      <c r="AM41" s="1029"/>
      <c r="AN41" s="1029"/>
      <c r="AO41" s="1029"/>
      <c r="AP41" s="1029"/>
      <c r="AQ41" s="1029"/>
      <c r="AR41" s="1029"/>
      <c r="AS41" s="1029"/>
      <c r="AT41" s="1029"/>
      <c r="AU41" s="1029"/>
      <c r="AV41" s="1029"/>
      <c r="AW41" s="1029"/>
      <c r="AX41" s="1029"/>
      <c r="AY41" s="1029"/>
      <c r="AZ41" s="1029"/>
      <c r="BA41" s="1029"/>
      <c r="BB41" s="1029"/>
    </row>
    <row r="42" s="978" customFormat="1" ht="15.75" customHeight="1">
      <c r="A42" t="s" s="1030">
        <v>1020</v>
      </c>
      <c r="B42" s="1031"/>
      <c r="C42" s="1019"/>
      <c r="D42" s="1019"/>
      <c r="E42" s="1019"/>
      <c r="F42" s="1019"/>
      <c r="G42" s="1019"/>
      <c r="H42" s="1019"/>
      <c r="I42" s="1019"/>
      <c r="J42" s="1019"/>
      <c r="K42" s="1019"/>
      <c r="L42" s="1019"/>
      <c r="M42" s="1019"/>
      <c r="N42" s="1019"/>
      <c r="O42" s="1019"/>
      <c r="P42" s="1019"/>
      <c r="Q42" s="1019"/>
      <c r="R42" s="1019"/>
      <c r="S42" s="1019"/>
      <c r="T42" s="1019"/>
      <c r="U42" s="1019"/>
      <c r="V42" s="1019"/>
      <c r="W42" s="1019"/>
      <c r="X42" s="1019"/>
      <c r="Y42" s="1019"/>
      <c r="Z42" s="1019"/>
      <c r="AA42" s="1019"/>
      <c r="AB42" s="1019"/>
      <c r="AC42" s="1019"/>
      <c r="AD42" s="1019"/>
      <c r="AE42" s="1019"/>
      <c r="AF42" s="1019"/>
      <c r="AG42" s="1019"/>
      <c r="AH42" s="1019"/>
      <c r="AI42" s="1019"/>
      <c r="AJ42" s="1019"/>
      <c r="AK42" s="1019"/>
      <c r="AL42" s="1019"/>
      <c r="AM42" s="1019"/>
      <c r="AN42" s="1019"/>
      <c r="AO42" s="1019"/>
      <c r="AP42" s="1019"/>
      <c r="AQ42" s="1019"/>
      <c r="AR42" s="1019"/>
      <c r="AS42" s="1019"/>
      <c r="AT42" s="1019"/>
      <c r="AU42" s="1019"/>
      <c r="AV42" s="1019"/>
      <c r="AW42" s="1019"/>
      <c r="AX42" s="1019"/>
      <c r="AY42" s="1019"/>
      <c r="AZ42" s="1019"/>
      <c r="BA42" s="1019"/>
      <c r="BB42" s="1019"/>
    </row>
    <row r="43" s="1032" customFormat="1" ht="17" customHeight="1">
      <c r="A43" t="s" s="1018">
        <v>1021</v>
      </c>
      <c r="B43" s="1033"/>
      <c r="C43" s="1034"/>
      <c r="D43" s="1034"/>
      <c r="E43" s="1035">
        <f>-'Secured Funding'!G15</f>
        <v>-2937.010000000002</v>
      </c>
      <c r="F43" s="1035">
        <f>-'Secured Funding'!G16</f>
        <v>-3069.170000000002</v>
      </c>
      <c r="G43" s="1035">
        <f>-'Secured Funding'!G17</f>
        <v>-3207.280000000002</v>
      </c>
      <c r="H43" s="1035">
        <f>-'Secured Funding'!G18</f>
        <v>-3351.610000000001</v>
      </c>
      <c r="I43" s="1035">
        <f>-'Secured Funding'!G19</f>
        <v>-3502.43</v>
      </c>
      <c r="J43" s="1035">
        <f>-'Secured Funding'!G20</f>
        <v>-3660.040000000001</v>
      </c>
      <c r="K43" s="1035">
        <f>-'Secured Funding'!G21</f>
        <v>-3824.740000000002</v>
      </c>
      <c r="L43" s="1035">
        <f>-'Secured Funding'!G22</f>
        <v>-3996.860000000001</v>
      </c>
      <c r="M43" s="1035">
        <f>-'Secured Funding'!G23</f>
        <v>-4176.720000000001</v>
      </c>
      <c r="N43" s="1035">
        <f>-'Secured Funding'!G24</f>
        <v>-4364.670000000002</v>
      </c>
      <c r="O43" s="1035">
        <f>-'Secured Funding'!G25</f>
        <v>-4561.080000000002</v>
      </c>
      <c r="P43" s="1035">
        <f>-'Secured Funding'!G26</f>
        <v>-4766.330000000002</v>
      </c>
      <c r="Q43" s="1035">
        <f>-'Secured Funding'!G27</f>
        <v>-4980.810000000001</v>
      </c>
      <c r="R43" s="1035">
        <f>-'Secured Funding'!G28</f>
        <v>-5204.950000000001</v>
      </c>
      <c r="S43" s="1035">
        <f>-'Secured Funding'!G29</f>
        <v>-5439.170000000002</v>
      </c>
      <c r="T43" s="1035">
        <f>-'Secured Funding'!G30</f>
        <v>-5683.93</v>
      </c>
      <c r="U43" s="1035">
        <f>-'Secured Funding'!G31</f>
        <v>-5939.710000000003</v>
      </c>
      <c r="V43" s="1035">
        <f>-'Secured Funding'!G32</f>
        <v>-6207</v>
      </c>
      <c r="W43" s="1035">
        <f>-'Secured Funding'!G33</f>
        <v>-6486.310000000001</v>
      </c>
      <c r="X43" s="1035">
        <f>-'Secured Funding'!G34</f>
        <v>-6778.200000000001</v>
      </c>
      <c r="Y43" s="1035">
        <f>-'Secured Funding'!G35</f>
        <v>-7083.220000000001</v>
      </c>
      <c r="Z43" s="1035">
        <f>-'Secured Funding'!G36</f>
        <v>-7401.960000000003</v>
      </c>
      <c r="AA43" s="1035">
        <f>-'Secured Funding'!G37</f>
        <v>-7735.050000000003</v>
      </c>
      <c r="AB43" s="1035">
        <f>-'Secured Funding'!G38</f>
        <v>-8083.130000000001</v>
      </c>
      <c r="AC43" s="1035">
        <f>-'Secured Funding'!G39</f>
        <v>-8446.870000000003</v>
      </c>
      <c r="AD43" s="1035">
        <f>-'Secured Funding'!G40</f>
        <v>-8826.980000000003</v>
      </c>
      <c r="AE43" s="1035">
        <f>-'Secured Funding'!G41</f>
        <v>-9224.190000000002</v>
      </c>
      <c r="AF43" s="1035">
        <f>-'Secured Funding'!G42</f>
        <v>-9639.280000000002</v>
      </c>
      <c r="AG43" s="1035">
        <f>-'Secured Funding'!G43</f>
        <v>-10073.05</v>
      </c>
      <c r="AH43" s="1035">
        <f>-'Secured Funding'!G44</f>
        <v>-10526.33</v>
      </c>
      <c r="AI43" s="1035">
        <f>-'Secured Funding'!G45</f>
        <v>-11000.02</v>
      </c>
      <c r="AJ43" s="1035">
        <f>-'Secured Funding'!G46</f>
        <v>-11495.02</v>
      </c>
      <c r="AK43" s="1035">
        <f>-'Secured Funding'!G47</f>
        <v>-12012.3</v>
      </c>
      <c r="AL43" s="1035">
        <f>-'Secured Funding'!G48</f>
        <v>-12552.85</v>
      </c>
      <c r="AM43" s="1035">
        <f>-'Secured Funding'!G49</f>
        <v>-13117.73</v>
      </c>
      <c r="AN43" s="1035">
        <f>-'Secured Funding'!G50</f>
        <v>-13708.03</v>
      </c>
      <c r="AO43" s="1035">
        <f>-'Secured Funding'!G51</f>
        <v>-14324.89</v>
      </c>
      <c r="AP43" s="1035">
        <f>-'Secured Funding'!G52</f>
        <v>-14969.51</v>
      </c>
      <c r="AQ43" s="1035">
        <f>-'Secured Funding'!G53</f>
        <v>-15643.13</v>
      </c>
      <c r="AR43" s="1035">
        <f>-'Secured Funding'!G54</f>
        <v>-16347.08</v>
      </c>
      <c r="AS43" s="1035">
        <f>-'Secured Funding'!G55</f>
        <v>-17082.69</v>
      </c>
      <c r="AT43" s="1035">
        <f>-'Secured Funding'!G56</f>
        <v>-17851.42</v>
      </c>
      <c r="AU43" s="1035">
        <f>-'Secured Funding'!G57</f>
        <v>-18654.73</v>
      </c>
      <c r="AV43" s="1035">
        <f>-'Secured Funding'!G58</f>
        <v>-19494.19</v>
      </c>
      <c r="AW43" s="1035">
        <f>-'Secured Funding'!G59</f>
        <v>-20371.43</v>
      </c>
      <c r="AX43" s="1035">
        <f>-'Secured Funding'!G60</f>
        <v>-21288.14</v>
      </c>
      <c r="AY43" s="1035">
        <f>-'Secured Funding'!G61</f>
        <v>-22246.11</v>
      </c>
      <c r="AZ43" s="1035">
        <f>-'Secured Funding'!G62</f>
        <v>-23247.19</v>
      </c>
      <c r="BA43" s="1035">
        <f>-'Secured Funding'!G63</f>
        <v>-24293.31</v>
      </c>
      <c r="BB43" s="1035">
        <f>-'Secured Funding'!G64</f>
        <v>-25386.51</v>
      </c>
    </row>
    <row r="44" s="1032" customFormat="1" ht="17" customHeight="1">
      <c r="A44" t="s" s="1018">
        <v>1022</v>
      </c>
      <c r="B44" s="1036">
        <f>'Project Information'!H27</f>
        <v>0.045</v>
      </c>
      <c r="C44" s="1007"/>
      <c r="D44" s="1007"/>
      <c r="E44" s="1037">
        <f>-'Secured Funding'!C15</f>
        <v>-23591.89</v>
      </c>
      <c r="F44" s="1037">
        <f>-'Secured Funding'!C16</f>
        <v>-23459.73</v>
      </c>
      <c r="G44" s="1037">
        <f>-'Secured Funding'!C17</f>
        <v>-23321.62</v>
      </c>
      <c r="H44" s="1037">
        <f>-'Secured Funding'!C18</f>
        <v>-23177.29</v>
      </c>
      <c r="I44" s="1037">
        <f>-'Secured Funding'!C19</f>
        <v>-23026.47</v>
      </c>
      <c r="J44" s="1037">
        <f>-'Secured Funding'!C20</f>
        <v>-22868.86</v>
      </c>
      <c r="K44" s="1037">
        <f>-'Secured Funding'!C21</f>
        <v>-22704.16</v>
      </c>
      <c r="L44" s="1037">
        <f>-'Secured Funding'!C22</f>
        <v>-22532.04</v>
      </c>
      <c r="M44" s="1037">
        <f>-'Secured Funding'!C23</f>
        <v>-22352.18</v>
      </c>
      <c r="N44" s="1037">
        <f>-'Secured Funding'!C24</f>
        <v>-22164.23</v>
      </c>
      <c r="O44" s="1037">
        <f>-'Secured Funding'!C25</f>
        <v>-21967.82</v>
      </c>
      <c r="P44" s="1037">
        <f>-'Secured Funding'!C26</f>
        <v>-21762.57</v>
      </c>
      <c r="Q44" s="1037">
        <f>-'Secured Funding'!C27</f>
        <v>-21548.09</v>
      </c>
      <c r="R44" s="1037">
        <f>-'Secured Funding'!C28</f>
        <v>-21323.95</v>
      </c>
      <c r="S44" s="1037">
        <f>-'Secured Funding'!C29</f>
        <v>-21089.73</v>
      </c>
      <c r="T44" s="1037">
        <f>-'Secured Funding'!C30</f>
        <v>-20844.97</v>
      </c>
      <c r="U44" s="1037">
        <f>-'Secured Funding'!C31</f>
        <v>-20589.19</v>
      </c>
      <c r="V44" s="1037">
        <f>-'Secured Funding'!C32</f>
        <v>-20321.9</v>
      </c>
      <c r="W44" s="1037">
        <f>-'Secured Funding'!C33</f>
        <v>-20042.59</v>
      </c>
      <c r="X44" s="1037">
        <f>-'Secured Funding'!C34</f>
        <v>-19750.7</v>
      </c>
      <c r="Y44" s="1037">
        <f>-'Secured Funding'!C35</f>
        <v>-19445.68</v>
      </c>
      <c r="Z44" s="1037">
        <f>-'Secured Funding'!C36</f>
        <v>-19126.94</v>
      </c>
      <c r="AA44" s="1037">
        <f>-'Secured Funding'!C37</f>
        <v>-18793.85</v>
      </c>
      <c r="AB44" s="1037">
        <f>-'Secured Funding'!C38</f>
        <v>-18445.77</v>
      </c>
      <c r="AC44" s="1037">
        <f>-'Secured Funding'!C39</f>
        <v>-18082.03</v>
      </c>
      <c r="AD44" s="1037">
        <f>-'Secured Funding'!C40</f>
        <v>-17701.92</v>
      </c>
      <c r="AE44" s="1037">
        <f>-'Secured Funding'!C41</f>
        <v>-17304.71</v>
      </c>
      <c r="AF44" s="1037">
        <f>-'Secured Funding'!C42</f>
        <v>-16889.62</v>
      </c>
      <c r="AG44" s="1037">
        <f>-'Secured Funding'!C43</f>
        <v>-16455.85</v>
      </c>
      <c r="AH44" s="1037">
        <f>-'Secured Funding'!C44</f>
        <v>-16002.57</v>
      </c>
      <c r="AI44" s="1037">
        <f>-'Secured Funding'!C45</f>
        <v>-15528.88</v>
      </c>
      <c r="AJ44" s="1037">
        <f>-'Secured Funding'!C46</f>
        <v>-15033.88</v>
      </c>
      <c r="AK44" s="1037">
        <f>-'Secured Funding'!C47</f>
        <v>-14516.6</v>
      </c>
      <c r="AL44" s="1037">
        <f>-'Secured Funding'!C48</f>
        <v>-13976.05</v>
      </c>
      <c r="AM44" s="1037">
        <f>-'Secured Funding'!C49</f>
        <v>-13411.17</v>
      </c>
      <c r="AN44" s="1037">
        <f>-'Secured Funding'!C50</f>
        <v>-12820.87</v>
      </c>
      <c r="AO44" s="1037">
        <f>-'Secured Funding'!C51</f>
        <v>-12204.01</v>
      </c>
      <c r="AP44" s="1037">
        <f>-'Secured Funding'!C52</f>
        <v>-11559.39</v>
      </c>
      <c r="AQ44" s="1037">
        <f>-'Secured Funding'!C53</f>
        <v>-10885.77</v>
      </c>
      <c r="AR44" s="1037">
        <f>-'Secured Funding'!C54</f>
        <v>-10181.82</v>
      </c>
      <c r="AS44" s="1037">
        <f>-'Secured Funding'!C55</f>
        <v>-9446.209999999999</v>
      </c>
      <c r="AT44" s="1037">
        <f>-'Secured Funding'!C56</f>
        <v>-8677.48</v>
      </c>
      <c r="AU44" s="1037">
        <f>-'Secured Funding'!C57</f>
        <v>-7874.17</v>
      </c>
      <c r="AV44" s="1037">
        <f>-'Secured Funding'!C58</f>
        <v>-7034.71</v>
      </c>
      <c r="AW44" s="1037">
        <f>-'Secured Funding'!C59</f>
        <v>-6157.47</v>
      </c>
      <c r="AX44" s="1037">
        <f>-'Secured Funding'!C60</f>
        <v>-5240.76</v>
      </c>
      <c r="AY44" s="1037">
        <f>-'Secured Funding'!C61</f>
        <v>-4282.79</v>
      </c>
      <c r="AZ44" s="1037">
        <f>-'Secured Funding'!C62</f>
        <v>-3281.71</v>
      </c>
      <c r="BA44" s="1037">
        <f>-'Secured Funding'!C63</f>
        <v>-2235.59</v>
      </c>
      <c r="BB44" s="1037">
        <f>-'Secured Funding'!C64</f>
        <v>-1142.39</v>
      </c>
    </row>
    <row r="45" s="1032" customFormat="1" ht="17" customHeight="1">
      <c r="A45" s="1007"/>
      <c r="B45" s="1031"/>
      <c r="C45" s="1007"/>
      <c r="D45" s="1007"/>
      <c r="E45" s="1037"/>
      <c r="F45" s="1037"/>
      <c r="G45" s="1037"/>
      <c r="H45" s="1037"/>
      <c r="I45" s="1037"/>
      <c r="J45" s="1037"/>
      <c r="K45" s="1037"/>
      <c r="L45" s="1037"/>
      <c r="M45" s="1037"/>
      <c r="N45" s="1037"/>
      <c r="O45" s="1037"/>
      <c r="P45" s="1037"/>
      <c r="Q45" s="1037"/>
      <c r="R45" s="1037"/>
      <c r="S45" s="1037"/>
      <c r="T45" s="1037"/>
      <c r="U45" s="1037"/>
      <c r="V45" s="1037"/>
      <c r="W45" s="1037"/>
      <c r="X45" s="1037"/>
      <c r="Y45" s="1037"/>
      <c r="Z45" s="1037"/>
      <c r="AA45" s="1037"/>
      <c r="AB45" s="1037"/>
      <c r="AC45" s="1037"/>
      <c r="AD45" s="1037"/>
      <c r="AE45" s="1037"/>
      <c r="AF45" s="1037"/>
      <c r="AG45" s="1037"/>
      <c r="AH45" s="1037"/>
      <c r="AI45" s="1037"/>
      <c r="AJ45" s="1037"/>
      <c r="AK45" s="1037"/>
      <c r="AL45" s="1037"/>
      <c r="AM45" s="1037"/>
      <c r="AN45" s="1037"/>
      <c r="AO45" s="1037"/>
      <c r="AP45" s="1037"/>
      <c r="AQ45" s="1037"/>
      <c r="AR45" s="1037"/>
      <c r="AS45" s="1037"/>
      <c r="AT45" s="1037"/>
      <c r="AU45" s="1037"/>
      <c r="AV45" s="1037"/>
      <c r="AW45" s="1037"/>
      <c r="AX45" s="1037"/>
      <c r="AY45" s="1037"/>
      <c r="AZ45" s="1037"/>
      <c r="BA45" s="1037"/>
      <c r="BB45" s="1037"/>
    </row>
    <row r="46" s="1032" customFormat="1" ht="17" customHeight="1">
      <c r="A46" t="s" s="1030">
        <v>604</v>
      </c>
      <c r="B46" s="1031"/>
      <c r="C46" s="1007"/>
      <c r="D46" s="1007"/>
      <c r="E46" s="1037"/>
      <c r="F46" s="1037"/>
      <c r="G46" s="1037"/>
      <c r="H46" s="1037"/>
      <c r="I46" s="1037"/>
      <c r="J46" s="1037"/>
      <c r="K46" s="1037"/>
      <c r="L46" s="1037"/>
      <c r="M46" s="1037"/>
      <c r="N46" s="1037"/>
      <c r="O46" s="1037"/>
      <c r="P46" s="1037"/>
      <c r="Q46" s="1037"/>
      <c r="R46" s="1037"/>
      <c r="S46" s="1037"/>
      <c r="T46" s="1037"/>
      <c r="U46" s="1037"/>
      <c r="V46" s="1037"/>
      <c r="W46" s="1037"/>
      <c r="X46" s="1037"/>
      <c r="Y46" s="1037"/>
      <c r="Z46" s="1037"/>
      <c r="AA46" s="1037"/>
      <c r="AB46" s="1037"/>
      <c r="AC46" s="1037"/>
      <c r="AD46" s="1037"/>
      <c r="AE46" s="1037"/>
      <c r="AF46" s="1037"/>
      <c r="AG46" s="1037"/>
      <c r="AH46" s="1037"/>
      <c r="AI46" s="1037"/>
      <c r="AJ46" s="1037"/>
      <c r="AK46" s="1037"/>
      <c r="AL46" s="1037"/>
      <c r="AM46" s="1037"/>
      <c r="AN46" s="1037"/>
      <c r="AO46" s="1037"/>
      <c r="AP46" s="1037"/>
      <c r="AQ46" s="1037"/>
      <c r="AR46" s="1037"/>
      <c r="AS46" s="1037"/>
      <c r="AT46" s="1037"/>
      <c r="AU46" s="1037"/>
      <c r="AV46" s="1037"/>
      <c r="AW46" s="1037"/>
      <c r="AX46" s="1037"/>
      <c r="AY46" s="1037"/>
      <c r="AZ46" s="1037"/>
      <c r="BA46" s="1037"/>
      <c r="BB46" s="1037"/>
    </row>
    <row r="47" s="1032" customFormat="1" ht="17" customHeight="1">
      <c r="A47" t="s" s="1018">
        <v>1021</v>
      </c>
      <c r="B47" s="1031"/>
      <c r="C47" s="1007"/>
      <c r="D47" s="1007"/>
      <c r="E47" s="1037">
        <f>'Community Bond'!C24+'Community Bond'!C14</f>
        <v>0</v>
      </c>
      <c r="F47" s="1037">
        <f>'Community Bond'!D24+'Community Bond'!D14</f>
        <v>0</v>
      </c>
      <c r="G47" s="1037">
        <f>'Community Bond'!E24+'Community Bond'!E14</f>
        <v>0</v>
      </c>
      <c r="H47" s="1037">
        <f>'Community Bond'!F24+'Community Bond'!F14</f>
        <v>0</v>
      </c>
      <c r="I47" s="1037">
        <f>'Community Bond'!G24+'Community Bond'!G14</f>
        <v>0</v>
      </c>
      <c r="J47" s="1037">
        <f>'Community Bond'!H24+'Community Bond'!H14</f>
        <v>0</v>
      </c>
      <c r="K47" s="1037">
        <f>'Community Bond'!I24+'Community Bond'!I14</f>
        <v>0</v>
      </c>
      <c r="L47" s="1037">
        <f>'Community Bond'!J24+'Community Bond'!J14</f>
        <v>0</v>
      </c>
      <c r="M47" s="1037">
        <f>'Community Bond'!K24+'Community Bond'!K14</f>
        <v>0</v>
      </c>
      <c r="N47" s="1037">
        <f>'Community Bond'!L24+'Community Bond'!L14</f>
        <v>0</v>
      </c>
      <c r="O47" s="1037">
        <f>'Community Bond'!M24+'Community Bond'!M14</f>
        <v>0</v>
      </c>
      <c r="P47" s="1037">
        <f>'Community Bond'!N24+'Community Bond'!N14</f>
        <v>0</v>
      </c>
      <c r="Q47" s="1037">
        <f>'Community Bond'!O24+'Community Bond'!O14</f>
        <v>0</v>
      </c>
      <c r="R47" s="1037">
        <f>'Community Bond'!P24+'Community Bond'!P14</f>
        <v>0</v>
      </c>
      <c r="S47" s="1037">
        <f>'Community Bond'!Q24+'Community Bond'!Q14</f>
        <v>0</v>
      </c>
      <c r="T47" s="1037">
        <f>'Community Bond'!R24+'Community Bond'!R14</f>
        <v>0</v>
      </c>
      <c r="U47" s="1037">
        <f>'Community Bond'!S24+'Community Bond'!S14</f>
        <v>0</v>
      </c>
      <c r="V47" s="1037">
        <f>'Community Bond'!T24+'Community Bond'!T14</f>
        <v>0</v>
      </c>
      <c r="W47" s="1037">
        <f>'Community Bond'!U24+'Community Bond'!U14</f>
        <v>0</v>
      </c>
      <c r="X47" s="1037">
        <f>'Community Bond'!V24+'Community Bond'!V14</f>
        <v>0</v>
      </c>
      <c r="Y47" s="1037">
        <f>'Community Bond'!W24+'Community Bond'!W14</f>
        <v>0</v>
      </c>
      <c r="Z47" s="1037">
        <f>'Community Bond'!X24+'Community Bond'!X14</f>
        <v>0</v>
      </c>
      <c r="AA47" s="1037">
        <f>'Community Bond'!Y24+'Community Bond'!Y14</f>
        <v>0</v>
      </c>
      <c r="AB47" s="1037">
        <f>'Community Bond'!Z24+'Community Bond'!Z14</f>
        <v>0</v>
      </c>
      <c r="AC47" s="1037">
        <f>'Community Bond'!AA24+'Community Bond'!AA14</f>
        <v>0</v>
      </c>
      <c r="AD47" s="1037">
        <f>'Community Bond'!AB24+'Community Bond'!AB14</f>
        <v>0</v>
      </c>
      <c r="AE47" s="1037">
        <f>'Community Bond'!AC24+'Community Bond'!AC14</f>
        <v>0</v>
      </c>
      <c r="AF47" s="1037">
        <f>'Community Bond'!AD24+'Community Bond'!AD14</f>
        <v>0</v>
      </c>
      <c r="AG47" s="1037">
        <f>'Community Bond'!AE24+'Community Bond'!AE14</f>
        <v>0</v>
      </c>
      <c r="AH47" s="1037">
        <f>'Community Bond'!AF24+'Community Bond'!AF14</f>
        <v>0</v>
      </c>
      <c r="AI47" s="1037">
        <f>'Community Bond'!AG24+'Community Bond'!AG14</f>
        <v>0</v>
      </c>
      <c r="AJ47" s="1037">
        <f>'Community Bond'!AH24+'Community Bond'!AH14</f>
        <v>0</v>
      </c>
      <c r="AK47" s="1037">
        <f>'Community Bond'!AI24+'Community Bond'!AI14</f>
        <v>0</v>
      </c>
      <c r="AL47" s="1037">
        <f>'Community Bond'!AJ24+'Community Bond'!AJ14</f>
        <v>0</v>
      </c>
      <c r="AM47" s="1037">
        <f>'Community Bond'!AK24+'Community Bond'!AK14</f>
        <v>0</v>
      </c>
      <c r="AN47" s="1037">
        <f>'Community Bond'!AL24+'Community Bond'!AL14</f>
        <v>0</v>
      </c>
      <c r="AO47" s="1037">
        <f>'Community Bond'!AM24+'Community Bond'!AM14</f>
        <v>0</v>
      </c>
      <c r="AP47" s="1037">
        <f>'Community Bond'!AN24+'Community Bond'!AN14</f>
        <v>0</v>
      </c>
      <c r="AQ47" s="1037">
        <f>'Community Bond'!AO24+'Community Bond'!AO14</f>
        <v>0</v>
      </c>
      <c r="AR47" s="1037">
        <f>'Community Bond'!AP24+'Community Bond'!AP14</f>
        <v>0</v>
      </c>
      <c r="AS47" s="1037">
        <f>'Community Bond'!AQ24+'Community Bond'!AQ14</f>
        <v>0</v>
      </c>
      <c r="AT47" s="1037">
        <f>'Community Bond'!AR24+'Community Bond'!AR14</f>
        <v>0</v>
      </c>
      <c r="AU47" s="1037">
        <f>'Community Bond'!AS24+'Community Bond'!AS14</f>
        <v>0</v>
      </c>
      <c r="AV47" s="1037">
        <f>'Community Bond'!AT24+'Community Bond'!AT14</f>
        <v>0</v>
      </c>
      <c r="AW47" s="1037">
        <f>'Community Bond'!AU24+'Community Bond'!AU14</f>
        <v>0</v>
      </c>
      <c r="AX47" s="1037">
        <f>'Community Bond'!AV24+'Community Bond'!AV14</f>
        <v>0</v>
      </c>
      <c r="AY47" s="1037">
        <f>'Community Bond'!AW24+'Community Bond'!AW14</f>
        <v>0</v>
      </c>
      <c r="AZ47" s="1037">
        <f>'Community Bond'!AX24+'Community Bond'!AX14</f>
        <v>0</v>
      </c>
      <c r="BA47" s="1037">
        <f>'Community Bond'!AY24+'Community Bond'!AY14</f>
        <v>0</v>
      </c>
      <c r="BB47" s="1037">
        <f>'Community Bond'!AZ24+'Community Bond'!AZ14</f>
        <v>0</v>
      </c>
    </row>
    <row r="48" s="1032" customFormat="1" ht="17" customHeight="1">
      <c r="A48" t="s" s="1018">
        <v>1022</v>
      </c>
      <c r="B48" s="1031"/>
      <c r="C48" s="1007"/>
      <c r="D48" s="1007"/>
      <c r="E48" s="1037">
        <f>'Community Bond'!C27</f>
        <v>0</v>
      </c>
      <c r="F48" s="1037">
        <f>'Community Bond'!D27</f>
        <v>0</v>
      </c>
      <c r="G48" s="1037">
        <f>'Community Bond'!E27</f>
        <v>0</v>
      </c>
      <c r="H48" s="1037">
        <f>'Community Bond'!F27</f>
        <v>0</v>
      </c>
      <c r="I48" s="1037">
        <f>'Community Bond'!G27</f>
        <v>0</v>
      </c>
      <c r="J48" s="1037">
        <f>'Community Bond'!H27</f>
        <v>0</v>
      </c>
      <c r="K48" s="1037">
        <f>'Community Bond'!I27</f>
        <v>0</v>
      </c>
      <c r="L48" s="1037">
        <f>'Community Bond'!J27</f>
        <v>0</v>
      </c>
      <c r="M48" s="1037">
        <f>'Community Bond'!K27</f>
        <v>0</v>
      </c>
      <c r="N48" s="1037">
        <f>'Community Bond'!L27</f>
        <v>0</v>
      </c>
      <c r="O48" s="1037">
        <f>'Community Bond'!M27</f>
        <v>0</v>
      </c>
      <c r="P48" s="1037">
        <f>'Community Bond'!N27</f>
        <v>0</v>
      </c>
      <c r="Q48" s="1037">
        <f>'Community Bond'!O27</f>
        <v>0</v>
      </c>
      <c r="R48" s="1037">
        <f>'Community Bond'!P27</f>
        <v>0</v>
      </c>
      <c r="S48" s="1037">
        <f>'Community Bond'!Q27</f>
        <v>0</v>
      </c>
      <c r="T48" s="1037">
        <f>'Community Bond'!R27</f>
        <v>0</v>
      </c>
      <c r="U48" s="1037">
        <f>'Community Bond'!S27</f>
        <v>0</v>
      </c>
      <c r="V48" s="1037">
        <f>'Community Bond'!T27</f>
        <v>0</v>
      </c>
      <c r="W48" s="1037">
        <f>'Community Bond'!U27</f>
        <v>0</v>
      </c>
      <c r="X48" s="1037">
        <f>'Community Bond'!V27</f>
        <v>0</v>
      </c>
      <c r="Y48" s="1037">
        <f>'Community Bond'!W27</f>
        <v>0</v>
      </c>
      <c r="Z48" s="1037">
        <f>'Community Bond'!X27</f>
        <v>0</v>
      </c>
      <c r="AA48" s="1037">
        <f>'Community Bond'!Y27</f>
        <v>0</v>
      </c>
      <c r="AB48" s="1037">
        <f>'Community Bond'!Z27</f>
        <v>0</v>
      </c>
      <c r="AC48" s="1037">
        <f>'Community Bond'!AA27</f>
        <v>0</v>
      </c>
      <c r="AD48" s="1037">
        <f>'Community Bond'!AB27</f>
        <v>0</v>
      </c>
      <c r="AE48" s="1037">
        <f>'Community Bond'!AC27</f>
        <v>0</v>
      </c>
      <c r="AF48" s="1037">
        <f>'Community Bond'!AD27</f>
        <v>0</v>
      </c>
      <c r="AG48" s="1037">
        <f>'Community Bond'!AE27</f>
        <v>0</v>
      </c>
      <c r="AH48" s="1037">
        <f>'Community Bond'!AF27</f>
        <v>0</v>
      </c>
      <c r="AI48" s="1037">
        <f>'Community Bond'!AG27</f>
        <v>0</v>
      </c>
      <c r="AJ48" s="1037">
        <f>'Community Bond'!AH27</f>
        <v>0</v>
      </c>
      <c r="AK48" s="1037">
        <f>'Community Bond'!AI27</f>
        <v>0</v>
      </c>
      <c r="AL48" s="1037">
        <f>'Community Bond'!AJ27</f>
        <v>0</v>
      </c>
      <c r="AM48" s="1037">
        <f>'Community Bond'!AK27</f>
        <v>0</v>
      </c>
      <c r="AN48" s="1037">
        <f>'Community Bond'!AL27</f>
        <v>0</v>
      </c>
      <c r="AO48" s="1037">
        <f>'Community Bond'!AM27</f>
        <v>0</v>
      </c>
      <c r="AP48" s="1037">
        <f>'Community Bond'!AN27</f>
        <v>0</v>
      </c>
      <c r="AQ48" s="1037">
        <f>'Community Bond'!AO27</f>
        <v>0</v>
      </c>
      <c r="AR48" s="1037">
        <f>'Community Bond'!AP27</f>
        <v>0</v>
      </c>
      <c r="AS48" s="1037">
        <f>'Community Bond'!AQ27</f>
        <v>0</v>
      </c>
      <c r="AT48" s="1037">
        <f>'Community Bond'!AR27</f>
        <v>0</v>
      </c>
      <c r="AU48" s="1037">
        <f>'Community Bond'!AS27</f>
        <v>0</v>
      </c>
      <c r="AV48" s="1037">
        <f>'Community Bond'!AT27</f>
        <v>0</v>
      </c>
      <c r="AW48" s="1037">
        <f>'Community Bond'!AU27</f>
        <v>0</v>
      </c>
      <c r="AX48" s="1037">
        <f>'Community Bond'!AV27</f>
        <v>0</v>
      </c>
      <c r="AY48" s="1037">
        <f>'Community Bond'!AW27</f>
        <v>0</v>
      </c>
      <c r="AZ48" s="1037">
        <f>'Community Bond'!AX27</f>
        <v>0</v>
      </c>
      <c r="BA48" s="1037">
        <f>'Community Bond'!AY27</f>
        <v>0</v>
      </c>
      <c r="BB48" s="1037">
        <f>'Community Bond'!AZ27</f>
        <v>0</v>
      </c>
    </row>
    <row r="49" s="1032" customFormat="1" ht="17" customHeight="1">
      <c r="A49" s="1007"/>
      <c r="B49" s="1031"/>
      <c r="C49" s="1007"/>
      <c r="D49" s="1007"/>
      <c r="E49" s="1037"/>
      <c r="F49" s="1037"/>
      <c r="G49" s="1037"/>
      <c r="H49" s="1037"/>
      <c r="I49" s="1037"/>
      <c r="J49" s="1037"/>
      <c r="K49" s="1037"/>
      <c r="L49" s="1037"/>
      <c r="M49" s="1037"/>
      <c r="N49" s="1037"/>
      <c r="O49" s="1037"/>
      <c r="P49" s="1037"/>
      <c r="Q49" s="1037"/>
      <c r="R49" s="1037"/>
      <c r="S49" s="1037"/>
      <c r="T49" s="1037"/>
      <c r="U49" s="1037"/>
      <c r="V49" s="1037"/>
      <c r="W49" s="1037"/>
      <c r="X49" s="1037"/>
      <c r="Y49" s="1037"/>
      <c r="Z49" s="1037"/>
      <c r="AA49" s="1037"/>
      <c r="AB49" s="1037"/>
      <c r="AC49" s="1037"/>
      <c r="AD49" s="1037"/>
      <c r="AE49" s="1037"/>
      <c r="AF49" s="1037"/>
      <c r="AG49" s="1037"/>
      <c r="AH49" s="1037"/>
      <c r="AI49" s="1037"/>
      <c r="AJ49" s="1037"/>
      <c r="AK49" s="1037"/>
      <c r="AL49" s="1037"/>
      <c r="AM49" s="1037"/>
      <c r="AN49" s="1037"/>
      <c r="AO49" s="1037"/>
      <c r="AP49" s="1037"/>
      <c r="AQ49" s="1037"/>
      <c r="AR49" s="1037"/>
      <c r="AS49" s="1037"/>
      <c r="AT49" s="1037"/>
      <c r="AU49" s="1037"/>
      <c r="AV49" s="1037"/>
      <c r="AW49" s="1037"/>
      <c r="AX49" s="1037"/>
      <c r="AY49" s="1037"/>
      <c r="AZ49" s="1037"/>
      <c r="BA49" s="1037"/>
      <c r="BB49" s="1037"/>
    </row>
    <row r="50" s="978" customFormat="1" ht="15.75" customHeight="1">
      <c r="A50" t="s" s="1030">
        <v>1023</v>
      </c>
      <c r="B50" s="1031"/>
      <c r="C50" s="1033"/>
      <c r="D50" s="1033"/>
      <c r="E50" s="1033"/>
      <c r="F50" s="1033"/>
      <c r="G50" s="1033"/>
      <c r="H50" s="1033"/>
      <c r="I50" s="1033"/>
      <c r="J50" s="1033"/>
      <c r="K50" s="1033"/>
      <c r="L50" s="1033"/>
      <c r="M50" s="1033"/>
      <c r="N50" s="1033"/>
      <c r="O50" s="1033"/>
      <c r="P50" s="1033"/>
      <c r="Q50" s="1033"/>
      <c r="R50" s="1033"/>
      <c r="S50" s="1033"/>
      <c r="T50" s="1033"/>
      <c r="U50" s="1033"/>
      <c r="V50" s="1033"/>
      <c r="W50" s="1033"/>
      <c r="X50" s="1033"/>
      <c r="Y50" s="1033"/>
      <c r="Z50" s="1033"/>
      <c r="AA50" s="1033"/>
      <c r="AB50" s="1033"/>
      <c r="AC50" s="1033"/>
      <c r="AD50" s="1033"/>
      <c r="AE50" s="1033"/>
      <c r="AF50" s="1033"/>
      <c r="AG50" s="1033"/>
      <c r="AH50" s="1033"/>
      <c r="AI50" s="1033"/>
      <c r="AJ50" s="1033"/>
      <c r="AK50" s="1033"/>
      <c r="AL50" s="1033"/>
      <c r="AM50" s="1033"/>
      <c r="AN50" s="1033"/>
      <c r="AO50" s="1033"/>
      <c r="AP50" s="1033"/>
      <c r="AQ50" s="1033"/>
      <c r="AR50" s="1033"/>
      <c r="AS50" s="1033"/>
      <c r="AT50" s="1033"/>
      <c r="AU50" s="1033"/>
      <c r="AV50" s="1033"/>
      <c r="AW50" s="1033"/>
      <c r="AX50" s="1033"/>
      <c r="AY50" s="1033"/>
      <c r="AZ50" s="1033"/>
      <c r="BA50" s="1033"/>
      <c r="BB50" s="1033"/>
    </row>
    <row r="51" s="978" customFormat="1" ht="15.75" customHeight="1">
      <c r="A51" t="s" s="1018">
        <v>1024</v>
      </c>
      <c r="B51" s="1036">
        <f>'Project Information'!H26</f>
        <v>0.075</v>
      </c>
      <c r="C51" s="1019">
        <v>0</v>
      </c>
      <c r="D51" s="1019">
        <v>0</v>
      </c>
      <c r="E51" s="1020">
        <f>IF(($E$14+$E$15+$E$32+$E$33+$E$43+$E$44)&lt;0,((($E$14+$E$15+$E$32+$E$33+$E$43+$E$44)*(B51)/12)*$E$5),0)</f>
        <v>0</v>
      </c>
      <c r="F51" s="1020">
        <f>IF((E57+((F27+F40+F43+F44+F47+F48)/2))&lt;0,(E57+((F27+F40+F43+F44+F47+F48)/2))*$B$51,0)</f>
        <v>0</v>
      </c>
      <c r="G51" s="1020">
        <f>IF((F57+((G27+G40+G43+G44+G47+G48)/2))&lt;0,(F57+((G27+G40+G43+G44+G47+G48)/2))*$B$51,0)</f>
        <v>0</v>
      </c>
      <c r="H51" s="1020">
        <f>IF((G57+((H27+H40+H43+H44+H47+H48)/2))&lt;0,(G57+((H27+H40+H43+H44+H47+H48)/2))*$B$51,0)</f>
        <v>0</v>
      </c>
      <c r="I51" s="1020">
        <f>IF((H57+((I27+I40+I43+I44+I47+I48)/2))&lt;0,(H57+((I27+I40+I43+I44+I47+I48)/2))*$B$51,0)</f>
        <v>0</v>
      </c>
      <c r="J51" s="1020">
        <f>IF((I57+((J27+J40+J43+J44+J47+J48)/2))&lt;0,(I57+((J27+J40+J43+J44+J47+J48)/2))*$B$51,0)</f>
        <v>0</v>
      </c>
      <c r="K51" s="1020">
        <f>IF((J57+((K27+K40+K43+K44+K47+K48)/2))&lt;0,(J57+((K27+K40+K43+K44+K47+K48)/2))*$B$51,0)</f>
        <v>0</v>
      </c>
      <c r="L51" s="1020">
        <f>IF((K57+((L27+L40+L43+L44+L47+L48)/2))&lt;0,(K57+((L27+L40+L43+L44+L47+L48)/2))*$B$51,0)</f>
        <v>0</v>
      </c>
      <c r="M51" s="1020">
        <f>IF((L57+((M27+M40+M43+M44+M47+M48)/2))&lt;0,(L57+((M27+M40+M43+M44+M47+M48)/2))*$B$51,0)</f>
        <v>0</v>
      </c>
      <c r="N51" s="1020">
        <f>IF((M57+((N27+N40+N43+N44+N47+N48)/2))&lt;0,(M57+((N27+N40+N43+N44+N47+N48)/2))*$B$51,0)</f>
        <v>0</v>
      </c>
      <c r="O51" s="1020">
        <f>IF((N57+((O27+O40+O43+O44+O47+O48)/2))&lt;0,(N57+((O27+O40+O43+O44+O47+O48)/2))*$B$51,0)</f>
        <v>0</v>
      </c>
      <c r="P51" s="1020">
        <f>IF((O57+((P27+P40+P43+P44+P47+P48)/2))&lt;0,(O57+((P27+P40+P43+P44+P47+P48)/2))*$B$51,0)</f>
        <v>0</v>
      </c>
      <c r="Q51" s="1020">
        <f>IF((P57+((Q27+Q40+Q43+Q44+Q47+Q48)/2))&lt;0,(P57+((Q27+Q40+Q43+Q44+Q47+Q48)/2))*$B$51,0)</f>
        <v>0</v>
      </c>
      <c r="R51" s="1020">
        <f>IF((Q57+((R27+R40+R43+R44+R47+R48)/2))&lt;0,(Q57+((R27+R40+R43+R44+R47+R48)/2))*$B$51,0)</f>
        <v>0</v>
      </c>
      <c r="S51" s="1020">
        <f>IF((R57+((S27+S40+S43+S44+S47+S48)/2))&lt;0,(R57+((S27+S40+S43+S44+S47+S48)/2))*$B$51,0)</f>
        <v>0</v>
      </c>
      <c r="T51" s="1020">
        <f>IF((S57+((T27+T40+T43+T44+T47+T48)/2))&lt;0,(S57+((T27+T40+T43+T44+T47+T48)/2))*$B$51,0)</f>
        <v>0</v>
      </c>
      <c r="U51" s="1020">
        <f>IF((T57+((U27+U40+U43+U44+U47+U48)/2))&lt;0,(T57+((U27+U40+U43+U44+U47+U48)/2))*$B$51,0)</f>
        <v>0</v>
      </c>
      <c r="V51" s="1020">
        <f>IF((U57+((V27+V40+V43+V44+V47+V48)/2))&lt;0,(U57+((V27+V40+V43+V44+V47+V48)/2))*$B$51,0)</f>
        <v>0</v>
      </c>
      <c r="W51" s="1020">
        <f>IF((V57+((W27+W40+W43+W44+W47+W48)/2))&lt;0,(V57+((W27+W40+W43+W44+W47+W48)/2))*$B$51,0)</f>
        <v>0</v>
      </c>
      <c r="X51" s="1020">
        <f>IF((W57+((X27+X40+X43+X44+X47+X48)/2))&lt;0,(W57+((X27+X40+X43+X44+X47+X48)/2))*$B$51,0)</f>
        <v>0</v>
      </c>
      <c r="Y51" s="1020">
        <f>IF((X57+((Y27+Y40+Y43+Y44+Y47+Y48)/2))&lt;0,(X57+((Y27+Y40+Y43+Y44+Y47+Y48)/2))*$B$51,0)</f>
        <v>0</v>
      </c>
      <c r="Z51" s="1020">
        <f>IF((Y57+((Z27+Z40+Z43+Z44+Z47+Z48)/2))&lt;0,(Y57+((Z27+Z40+Z43+Z44+Z47+Z48)/2))*$B$51,0)</f>
        <v>0</v>
      </c>
      <c r="AA51" s="1020">
        <f>IF((Z57+((AA27+AA40+AA43+AA44+AA47+AA48)/2))&lt;0,(Z57+((AA27+AA40+AA43+AA44+AA47+AA48)/2))*$B$51,0)</f>
        <v>0</v>
      </c>
      <c r="AB51" s="1020">
        <f>IF((AA57+((AB27+AB40+AB43+AB44+AB47+AB48)/2))&lt;0,(AA57+((AB27+AB40+AB43+AB44+AB47+AB48)/2))*$B$51,0)</f>
        <v>0</v>
      </c>
      <c r="AC51" s="1020">
        <f>IF((AB57+((AC27+AC40+AC43+AC44+AC47+AC48)/2))&lt;0,(AB57+((AC27+AC40+AC43+AC44+AC47+AC48)/2))*$B$51,0)</f>
        <v>0</v>
      </c>
      <c r="AD51" s="1020">
        <f>IF((AC57+((AD27+AD40+AD43+AD44+AD47+AD48)/2))&lt;0,(AC57+((AD27+AD40+AD43+AD44+AD47+AD48)/2))*$B$51,0)</f>
        <v>0</v>
      </c>
      <c r="AE51" s="1020">
        <f>IF((AD57+((AE27+AE40+AE43+AE44+AE47+AE48)/2))&lt;0,(AD57+((AE27+AE40+AE43+AE44+AE47+AE48)/2))*$B$51,0)</f>
        <v>0</v>
      </c>
      <c r="AF51" s="1020">
        <f>IF((AE57+((AF27+AF40+AF43+AF44+AF47+AF48)/2))&lt;0,(AE57+((AF27+AF40+AF43+AF44+AF47+AF48)/2))*$B$51,0)</f>
        <v>0</v>
      </c>
      <c r="AG51" s="1020">
        <f>IF((AF57+((AG27+AG40+AG43+AG44+AG47+AG48)/2))&lt;0,(AF57+((AG27+AG40+AG43+AG44+AG47+AG48)/2))*$B$51,0)</f>
        <v>0</v>
      </c>
      <c r="AH51" s="1020">
        <f>IF((AG57+((AH27+AH40+AH43+AH44+AH47+AH48)/2))&lt;0,(AG57+((AH27+AH40+AH43+AH44+AH47+AH48)/2))*$B$51,0)</f>
        <v>0</v>
      </c>
      <c r="AI51" s="1020">
        <f>IF((AH57+((AI27+AI40+AI43+AI44+AI47+AI48)/2))&lt;0,(AH57+((AI27+AI40+AI43+AI44+AI47+AI48)/2))*$B$51,0)</f>
        <v>0</v>
      </c>
      <c r="AJ51" s="1020">
        <f>IF((AI57+((AJ27+AJ40+AJ43+AJ44+AJ47+AJ48)/2))&lt;0,(AI57+((AJ27+AJ40+AJ43+AJ44+AJ47+AJ48)/2))*$B$51,0)</f>
        <v>0</v>
      </c>
      <c r="AK51" s="1020">
        <f>IF((AJ57+((AK27+AK40+AK43+AK44+AK47+AK48)/2))&lt;0,(AJ57+((AK27+AK40+AK43+AK44+AK47+AK48)/2))*$B$51,0)</f>
        <v>0</v>
      </c>
      <c r="AL51" s="1020">
        <f>IF((AK57+((AL27+AL40+AL43+AL44+AL47+AL48)/2))&lt;0,(AK57+((AL27+AL40+AL43+AL44+AL47+AL48)/2))*$B$51,0)</f>
        <v>0</v>
      </c>
      <c r="AM51" s="1020">
        <f>IF((AL57+((AM27+AM40+AM43+AM44+AM47+AM48)/2))&lt;0,(AL57+((AM27+AM40+AM43+AM44+AM47+AM48)/2))*$B$51,0)</f>
        <v>0</v>
      </c>
      <c r="AN51" s="1020">
        <f>IF((AM57+((AN27+AN40+AN43+AN44+AN47+AN48)/2))&lt;0,(AM57+((AN27+AN40+AN43+AN44+AN47+AN48)/2))*$B$51,0)</f>
        <v>0</v>
      </c>
      <c r="AO51" s="1020">
        <f>IF((AN57+((AO27+AO40+AO43+AO44+AO47+AO48)/2))&lt;0,(AN57+((AO27+AO40+AO43+AO44+AO47+AO48)/2))*$B$51,0)</f>
        <v>0</v>
      </c>
      <c r="AP51" s="1020">
        <f>IF((AO57+((AP27+AP40+AP43+AP44+AP47+AP48)/2))&lt;0,(AO57+((AP27+AP40+AP43+AP44+AP47+AP48)/2))*$B$51,0)</f>
        <v>0</v>
      </c>
      <c r="AQ51" s="1020">
        <f>IF((AP57+((AQ27+AQ40+AQ43+AQ44+AQ47+AQ48)/2))&lt;0,(AP57+((AQ27+AQ40+AQ43+AQ44+AQ47+AQ48)/2))*$B$51,0)</f>
        <v>0</v>
      </c>
      <c r="AR51" s="1020">
        <f>IF((AQ57+((AR27+AR40+AR43+AR44+AR47+AR48)/2))&lt;0,(AQ57+((AR27+AR40+AR43+AR44+AR47+AR48)/2))*$B$51,0)</f>
        <v>0</v>
      </c>
      <c r="AS51" s="1020">
        <f>IF((AR57+((AS27+AS40+AS43+AS44+AS47+AS48)/2))&lt;0,(AR57+((AS27+AS40+AS43+AS44+AS47+AS48)/2))*$B$51,0)</f>
        <v>0</v>
      </c>
      <c r="AT51" s="1020">
        <f>IF((AS57+((AT27+AT40+AT43+AT44+AT47+AT48)/2))&lt;0,(AS57+((AT27+AT40+AT43+AT44+AT47+AT48)/2))*$B$51,0)</f>
        <v>0</v>
      </c>
      <c r="AU51" s="1020">
        <f>IF((AT57+((AU27+AU40+AU43+AU44+AU47+AU48)/2))&lt;0,(AT57+((AU27+AU40+AU43+AU44+AU47+AU48)/2))*$B$51,0)</f>
        <v>0</v>
      </c>
      <c r="AV51" s="1020">
        <f>IF((AU57+((AV27+AV40+AV43+AV44+AV47+AV48)/2))&lt;0,(AU57+((AV27+AV40+AV43+AV44+AV47+AV48)/2))*$B$51,0)</f>
        <v>0</v>
      </c>
      <c r="AW51" s="1020">
        <f>IF((AV57+((AW27+AW40+AW43+AW44+AW47+AW48)/2))&lt;0,(AV57+((AW27+AW40+AW43+AW44+AW47+AW48)/2))*$B$51,0)</f>
        <v>0</v>
      </c>
      <c r="AX51" s="1020">
        <f>IF((AW57+((AX27+AX40+AX43+AX44+AX47+AX48)/2))&lt;0,(AW57+((AX27+AX40+AX43+AX44+AX47+AX48)/2))*$B$51,0)</f>
        <v>0</v>
      </c>
      <c r="AY51" s="1020">
        <f>IF((AX57+((AY27+AY40+AY43+AY44+AY47+AY48)/2))&lt;0,(AX57+((AY27+AY40+AY43+AY44+AY47+AY48)/2))*$B$51,0)</f>
        <v>0</v>
      </c>
      <c r="AZ51" s="1020">
        <f>IF((AY57+((AZ27+AZ40+AZ43+AZ44+AZ47+AZ48)/2))&lt;0,(AY57+((AZ27+AZ40+AZ43+AZ44+AZ47+AZ48)/2))*$B$51,0)</f>
        <v>0</v>
      </c>
      <c r="BA51" s="1020">
        <f>IF((AZ57+((BA27+BA40+BA43+BA44+BA47+BA48)/2))&lt;0,(AZ57+((BA27+BA40+BA43+BA44+BA47+BA48)/2))*$B$51,0)</f>
        <v>0</v>
      </c>
      <c r="BB51" s="1020">
        <f>IF((BA57+((BB27+BB40+BB43+BB44+BB47+BB48)/2))&lt;0,(BA57+((BB27+BB40+BB43+BB44+BB47+BB48)/2))*$B$51,0)</f>
        <v>0</v>
      </c>
    </row>
    <row r="52" s="978" customFormat="1" ht="15.75" customHeight="1">
      <c r="A52" t="s" s="1018">
        <v>1025</v>
      </c>
      <c r="B52" s="1036">
        <v>0.005</v>
      </c>
      <c r="C52" s="1019">
        <f>IF((((C27+C40)/2))&gt;0,(((C27+C40)/2))*$B$52,0)</f>
        <v>0</v>
      </c>
      <c r="D52" s="1019">
        <f>IF((C57+((D27+D40)/2))&gt;0,(C57+((D27+D40)/2))*$B$52,0)</f>
        <v>0</v>
      </c>
      <c r="E52" s="1020">
        <f>IF(($E$14+$E$15+$E$32+$E$33+$E$43+$E$44+E47+E48)&gt;0,((($E$14+$E$15+$E$32+$E$33+$E$43+$E$44+E47+E48)*(B52)/12)*$E$5),0)</f>
        <v>3.247638888888893</v>
      </c>
      <c r="F52" s="1020">
        <f>IF((E57+((F27+F40+F43+F44+F47+F48)/2))&gt;0,(E57+((F27+F40)/2))*$B$52,0)</f>
        <v>88.29652986111095</v>
      </c>
      <c r="G52" s="1020">
        <f>IF((F57+((G27+G40+G43+G44+G47+G48)/2))&gt;0,(F57+((G27+G40)/2))*$B$52,0)</f>
        <v>127.3844325104165</v>
      </c>
      <c r="H52" s="1020">
        <f>IF((G57+((H27+H40+H43+H44+H47+H48)/2))&gt;0,(G57+((H27+H40)/2))*$B$52,0)</f>
        <v>166.9373622729685</v>
      </c>
      <c r="I52" s="1020">
        <f>IF((H57+((I27+I40+I43+I44+I47+I48)/2))&gt;0,(H57+((I27+I40)/2))*$B$52,0)</f>
        <v>207.1135671123333</v>
      </c>
      <c r="J52" s="1020">
        <f>IF((I57+((J27+J40+J43+J44+J47+J48)/2))&gt;0,(I57+((J27+J40)/2))*$B$52,0)</f>
        <v>252.940503916735</v>
      </c>
      <c r="K52" s="1020">
        <f>IF((J57+((K27+K40+K43+K44+K47+K48)/2))&gt;0,(J57+((K27+K40)/2))*$B$52,0)</f>
        <v>303.6964206242238</v>
      </c>
      <c r="L52" s="1020">
        <f>IF((K57+((L27+L40+L43+L44+L47+L48)/2))&gt;0,(K57+((L27+L40)/2))*$B$52,0)</f>
        <v>359.5741250283874</v>
      </c>
      <c r="M52" s="1020">
        <f>IF((L57+((M27+M40+M43+M44+M47+M48)/2))&gt;0,(L57+((M27+M40)/2))*$B$52,0)</f>
        <v>421.6882350986029</v>
      </c>
      <c r="N52" s="1020">
        <f>IF((M57+((N27+N40+N43+N44+N47+N48)/2))&gt;0,(M57+((N27+N40)/2))*$B$52,0)</f>
        <v>489.0316333775218</v>
      </c>
      <c r="O52" s="1020">
        <f>IF((N57+((O27+O40+O43+O44+O47+O48)/2))&gt;0,(N57+((O27+O40)/2))*$B$52,0)</f>
        <v>561.8149678859381</v>
      </c>
      <c r="P52" s="1020">
        <f>IF((O57+((P27+P40+P43+P44+P47+P48)/2))&gt;0,(O57+((P27+P40)/2))*$B$52,0)</f>
        <v>641.4704349321423</v>
      </c>
      <c r="Q52" s="1020">
        <f>IF((P57+((Q27+Q40+Q43+Q44+Q47+Q48)/2))&gt;0,(P57+((Q27+Q40)/2))*$B$52,0)</f>
        <v>726.7049979047806</v>
      </c>
      <c r="R52" s="1020">
        <f>IF((Q57+((R27+R40+R43+R44+R47+R48)/2))&gt;0,(Q57+((R27+R40)/2))*$B$52,0)</f>
        <v>817.7491394037216</v>
      </c>
      <c r="S52" s="1020">
        <f>IF((R57+((S27+S40+S43+S44+S47+S48)/2))&gt;0,(R57+((S27+S40)/2))*$B$52,0)</f>
        <v>916.3596908054399</v>
      </c>
      <c r="T52" s="1020">
        <f>IF((S57+((T27+T40+T43+T44+T47+T48)/2))&gt;0,(S57+((T27+T40)/2))*$B$52,0)</f>
        <v>1021.271426085308</v>
      </c>
      <c r="U52" s="1020">
        <f>IF((T57+((U27+U40+U43+U44+U47+U48)/2))&gt;0,(T57+((U27+U40)/2))*$B$52,0)</f>
        <v>1132.735932658850</v>
      </c>
      <c r="V52" s="1020">
        <f>IF((U57+((V27+V40+V43+V44+V47+V48)/2))&gt;0,(U57+((V27+V40)/2))*$B$52,0)</f>
        <v>1252.529427073554</v>
      </c>
      <c r="W52" s="1020">
        <f>IF((V57+((W27+W40+W43+W44+W47+W48)/2))&gt;0,(V57+((W27+W40)/2))*$B$52,0)</f>
        <v>1378.798692977873</v>
      </c>
      <c r="X52" s="1020">
        <f>IF((W57+((X27+X40+X43+X44+X47+X48)/2))&gt;0,(W57+((X27+X40)/2))*$B$52,0)</f>
        <v>1511.818270937282</v>
      </c>
      <c r="Y52" s="1020">
        <f>IF((X57+((Y27+Y40+Y43+Y44+Y47+Y48)/2))&gt;0,(X57+((Y27+Y40)/2))*$B$52,0)</f>
        <v>1653.996350321324</v>
      </c>
      <c r="Z52" s="1020">
        <f>IF((Y57+((Z27+Z40+Z43+Z44+Z47+Z48)/2))&gt;0,(Y57+((Z27+Z40)/2))*$B$52,0)</f>
        <v>1803.200855743168</v>
      </c>
      <c r="AA52" s="1020">
        <f>IF((Z57+((AA27+AA40+AA43+AA44+AA47+AA48)/2))&gt;0,(Z57+((AA27+AA40)/2))*$B$52,0)</f>
        <v>1959.733440502227</v>
      </c>
      <c r="AB52" s="1020">
        <f>IF((AA57+((AB27+AB40+AB43+AB44+AB47+AB48)/2))&gt;0,(AA57+((AB27+AB40)/2))*$B$52,0)</f>
        <v>2126.329431799491</v>
      </c>
      <c r="AC52" s="1020">
        <f>IF((AB57+((AC27+AC40+AC43+AC44+AC47+AC48)/2))&gt;0,(AB57+((AC27+AC40)/2))*$B$52,0)</f>
        <v>2300.578190226086</v>
      </c>
      <c r="AD52" s="1020">
        <f>IF((AC57+((AD27+AD40+AD43+AD44+AD47+AD48)/2))&gt;0,(AC57+((AD27+AD40)/2))*$B$52,0)</f>
        <v>2482.808850845340</v>
      </c>
      <c r="AE52" s="1020">
        <f>IF((AD57+((AE27+AE40+AE43+AE44+AE47+AE48)/2))&gt;0,(AD57+((AE27+AE40)/2))*$B$52,0)</f>
        <v>2676.094324282735</v>
      </c>
      <c r="AF52" s="1020">
        <f>IF((AE57+((AF27+AF40+AF43+AF44+AF47+AF48)/2))&gt;0,(AE57+((AF27+AF40)/2))*$B$52,0)</f>
        <v>2877.145314387812</v>
      </c>
      <c r="AG52" s="1020">
        <f>IF((AF57+((AG27+AG40+AG43+AG44+AG47+AG48)/2))&gt;0,(AF57+((AG27+AG40)/2))*$B$52,0)</f>
        <v>3086.316091572924</v>
      </c>
      <c r="AH52" s="1020">
        <f>IF((AG57+((AH27+AH40+AH43+AH44+AH47+AH48)/2))&gt;0,(AG57+((AH27+AH40)/2))*$B$52,0)</f>
        <v>3307.308957137357</v>
      </c>
      <c r="AI52" s="1020">
        <f>IF((AH57+((AI27+AI40+AI43+AI44+AI47+AI48)/2))&gt;0,(AH57+((AI27+AI40)/2))*$B$52,0)</f>
        <v>3513.097343570309</v>
      </c>
      <c r="AJ52" s="1020">
        <f>IF((AI57+((AJ27+AJ40+AJ43+AJ44+AJ47+AJ48)/2))&gt;0,(AI57+((AJ27+AJ40)/2))*$B$52,0)</f>
        <v>3702.793800559844</v>
      </c>
      <c r="AK52" s="1020">
        <f>IF((AJ57+((AK27+AK40+AK43+AK44+AK47+AK48)/2))&gt;0,(AJ57+((AK27+AK40)/2))*$B$52,0)</f>
        <v>3902.582553942477</v>
      </c>
      <c r="AL52" s="1020">
        <f>IF((AK57+((AL27+AL40+AL43+AL44+AL47+AL48)/2))&gt;0,(AK57+((AL27+AL40)/2))*$B$52,0)</f>
        <v>4112.788229623417</v>
      </c>
      <c r="AM52" s="1020">
        <f>IF((AL57+((AM27+AM40+AM43+AM44+AM47+AM48)/2))&gt;0,(AL57+((AM27+AM40)/2))*$B$52,0)</f>
        <v>4333.7425515701</v>
      </c>
      <c r="AN52" s="1020">
        <f>IF((AM57+((AN27+AN40+AN43+AN44+AN47+AN48)/2))&gt;0,(AM57+((AN27+AN40)/2))*$B$52,0)</f>
        <v>4565.789691550473</v>
      </c>
      <c r="AO52" s="1020">
        <f>IF((AN57+((AO27+AO40+AO43+AO44+AO47+AO48)/2))&gt;0,(AN57+((AO27+AO40)/2))*$B$52,0)</f>
        <v>4809.286655047424</v>
      </c>
      <c r="AP52" s="1020">
        <f>IF((AO57+((AP27+AP40+AP43+AP44+AP47+AP48)/2))&gt;0,(AO57+((AP27+AP40)/2))*$B$52,0)</f>
        <v>5064.598678813036</v>
      </c>
      <c r="AQ52" s="1020">
        <f>IF((AP57+((AQ27+AQ40+AQ43+AQ44+AQ47+AQ48)/2))&gt;0,(AP57+((AQ27+AQ40)/2))*$B$52,0)</f>
        <v>5332.104615412186</v>
      </c>
      <c r="AR52" s="1020">
        <f>IF((AQ57+((AR27+AR40+AR43+AR44+AR47+AR48)/2))&gt;0,(AQ57+((AR27+AR40)/2))*$B$52,0)</f>
        <v>5612.194854990485</v>
      </c>
      <c r="AS52" s="1020">
        <f>IF((AR57+((AS27+AS40+AS43+AS44+AS47+AS48)/2))&gt;0,(AR57+((AS27+AS40)/2))*$B$52,0)</f>
        <v>5905.266747261713</v>
      </c>
      <c r="AT52" s="1020">
        <f>IF((AS57+((AT27+AT40+AT43+AT44+AT47+AT48)/2))&gt;0,(AS57+((AT27+AT40)/2))*$B$52,0)</f>
        <v>6211.730011534185</v>
      </c>
      <c r="AU52" s="1020">
        <f>IF((AT57+((AU27+AU40+AU43+AU44+AU47+AU48)/2))&gt;0,(AT57+((AU27+AU40)/2))*$B$52,0)</f>
        <v>6532.012185044104</v>
      </c>
      <c r="AV52" s="1020">
        <f>IF((AU57+((AV27+AV40+AV43+AV44+AV47+AV48)/2))&gt;0,(AU57+((AV27+AV40)/2))*$B$52,0)</f>
        <v>6866.554110125139</v>
      </c>
      <c r="AW52" s="1020">
        <f>IF((AV57+((AW27+AW40+AW43+AW44+AW47+AW48)/2))&gt;0,(AV57+((AW27+AW40)/2))*$B$52,0)</f>
        <v>7215.802910756256</v>
      </c>
      <c r="AX52" s="1020">
        <f>IF((AW57+((AX27+AX40+AX43+AX44+AX47+AX48)/2))&gt;0,(AW57+((AX27+AX40)/2))*$B$52,0)</f>
        <v>7580.222446292942</v>
      </c>
      <c r="AY52" s="1020">
        <f>IF((AX57+((AY27+AY40+AY43+AY44+AY47+AY48)/2))&gt;0,(AX57+((AY27+AY40)/2))*$B$52,0)</f>
        <v>7960.291330136798</v>
      </c>
      <c r="AZ52" s="1020">
        <f>IF((AY57+((AZ27+AZ40+AZ43+AZ44+AZ47+AZ48)/2))&gt;0,(AY57+((AZ27+AZ40)/2))*$B$52,0)</f>
        <v>8356.503451548246</v>
      </c>
      <c r="BA52" s="1020">
        <f>IF((AZ57+((BA27+BA40+BA43+BA44+BA47+BA48)/2))&gt;0,(AZ57+((BA27+BA40)/2))*$B$52,0)</f>
        <v>8769.371013509573</v>
      </c>
      <c r="BB52" s="1020">
        <f>IF((BA57+((BB27+BB40+BB43+BB44+BB47+BB48)/2))&gt;0,(BA57+((BB27+BB40)/2))*$B$52,0)</f>
        <v>9199.417599621816</v>
      </c>
    </row>
    <row r="53" s="978" customFormat="1" ht="15.75" customHeight="1">
      <c r="A53" s="1007"/>
      <c r="B53" s="1031"/>
      <c r="C53" s="1019"/>
      <c r="D53" s="1019"/>
      <c r="E53" s="1020"/>
      <c r="F53" s="1019"/>
      <c r="G53" s="1019"/>
      <c r="H53" s="1019"/>
      <c r="I53" s="1019"/>
      <c r="J53" s="1019"/>
      <c r="K53" s="1019"/>
      <c r="L53" s="1019"/>
      <c r="M53" s="1019"/>
      <c r="N53" s="1019"/>
      <c r="O53" s="1019"/>
      <c r="P53" s="1019"/>
      <c r="Q53" s="1019"/>
      <c r="R53" s="1019"/>
      <c r="S53" s="1019"/>
      <c r="T53" s="1019"/>
      <c r="U53" s="1019"/>
      <c r="V53" s="1019"/>
      <c r="W53" s="1019"/>
      <c r="X53" s="1019"/>
      <c r="Y53" s="1019"/>
      <c r="Z53" s="1019"/>
      <c r="AA53" s="1019"/>
      <c r="AB53" s="1019"/>
      <c r="AC53" s="1019"/>
      <c r="AD53" s="1019"/>
      <c r="AE53" s="1019"/>
      <c r="AF53" s="1019"/>
      <c r="AG53" s="1019"/>
      <c r="AH53" s="1019"/>
      <c r="AI53" s="1019"/>
      <c r="AJ53" s="1019"/>
      <c r="AK53" s="1019"/>
      <c r="AL53" s="1019"/>
      <c r="AM53" s="1019"/>
      <c r="AN53" s="1019"/>
      <c r="AO53" s="1019"/>
      <c r="AP53" s="1019"/>
      <c r="AQ53" s="1019"/>
      <c r="AR53" s="1019"/>
      <c r="AS53" s="1019"/>
      <c r="AT53" s="1019"/>
      <c r="AU53" s="1019"/>
      <c r="AV53" s="1019"/>
      <c r="AW53" s="1019"/>
      <c r="AX53" s="1019"/>
      <c r="AY53" s="1019"/>
      <c r="AZ53" s="1019"/>
      <c r="BA53" s="1019"/>
      <c r="BB53" s="1019"/>
    </row>
    <row r="54" s="978" customFormat="1" ht="17" customHeight="1">
      <c r="A54" s="1021"/>
      <c r="B54" s="1021"/>
      <c r="C54" s="1022"/>
      <c r="D54" s="1022"/>
      <c r="E54" s="1022"/>
      <c r="F54" s="1022"/>
      <c r="G54" s="1022"/>
      <c r="H54" s="1022"/>
      <c r="I54" s="1022"/>
      <c r="J54" s="1022"/>
      <c r="K54" s="1022"/>
      <c r="L54" s="1022"/>
      <c r="M54" s="1022"/>
      <c r="N54" s="1022"/>
      <c r="O54" s="1022"/>
      <c r="P54" s="1022"/>
      <c r="Q54" s="1022"/>
      <c r="R54" s="1022"/>
      <c r="S54" s="1022"/>
      <c r="T54" s="1022"/>
      <c r="U54" s="1022"/>
      <c r="V54" s="1022"/>
      <c r="W54" s="1022"/>
      <c r="X54" s="1022"/>
      <c r="Y54" s="1022"/>
      <c r="Z54" s="1022"/>
      <c r="AA54" s="1022"/>
      <c r="AB54" s="1022"/>
      <c r="AC54" s="1022"/>
      <c r="AD54" s="1022"/>
      <c r="AE54" s="1022"/>
      <c r="AF54" s="1022"/>
      <c r="AG54" s="1022"/>
      <c r="AH54" s="1022"/>
      <c r="AI54" s="1022"/>
      <c r="AJ54" s="1022"/>
      <c r="AK54" s="1022"/>
      <c r="AL54" s="1022"/>
      <c r="AM54" s="1022"/>
      <c r="AN54" s="1022"/>
      <c r="AO54" s="1022"/>
      <c r="AP54" s="1022"/>
      <c r="AQ54" s="1022"/>
      <c r="AR54" s="1022"/>
      <c r="AS54" s="1022"/>
      <c r="AT54" s="1022"/>
      <c r="AU54" s="1022"/>
      <c r="AV54" s="1022"/>
      <c r="AW54" s="1022"/>
      <c r="AX54" s="1022"/>
      <c r="AY54" s="1022"/>
      <c r="AZ54" s="1022"/>
      <c r="BA54" s="1022"/>
      <c r="BB54" s="1022"/>
    </row>
    <row r="55" s="1011" customFormat="1" ht="16.5" customHeight="1">
      <c r="A55" t="s" s="1023">
        <v>1026</v>
      </c>
      <c r="B55" s="1024"/>
      <c r="C55" s="1025">
        <f>C27+C40+C51+C52+C43+C44+C47+C48</f>
        <v>0</v>
      </c>
      <c r="D55" s="1025">
        <f>D27+D40+D51+D52+D43+D44+D47+D48</f>
        <v>-1089718</v>
      </c>
      <c r="E55" s="1025">
        <f>E27+E40+E51+E52+E43+E44+E47+E48</f>
        <v>1090501.005972222</v>
      </c>
      <c r="F55" s="1025">
        <f>F27+F40+F51+F52+F43+F44+F47+F48</f>
        <v>7311.996529861106</v>
      </c>
      <c r="G55" s="1025">
        <f>G27+G40+G51+G52+G43+G44+G47+G48</f>
        <v>8362.252432510410</v>
      </c>
      <c r="H55" s="1025">
        <f>H27+H40+H51+H52+H43+H44+H47+H48</f>
        <v>7498.472402272964</v>
      </c>
      <c r="I55" s="1025">
        <f>I27+I40+I51+I52+I43+I44+I47+I48</f>
        <v>8612.185738312328</v>
      </c>
      <c r="J55" s="1025">
        <f>J27+J40+J51+J52+J43+J44+J47+J48</f>
        <v>9764.415920252730</v>
      </c>
      <c r="K55" s="1025">
        <f>K27+K40+K51+K52+K43+K44+K47+K48</f>
        <v>10588.706679450308</v>
      </c>
      <c r="L55" s="1025">
        <f>L27+L40+L51+L52+L43+L44+L47+L48</f>
        <v>11818.252786619254</v>
      </c>
      <c r="M55" s="1025">
        <f>M27+M40+M51+M52+M43+M44+M47+M48</f>
        <v>13089.5053515372</v>
      </c>
      <c r="N55" s="1025">
        <f>N27+N40+N51+N52+N43+N44+N47+N48</f>
        <v>13915.197358309273</v>
      </c>
      <c r="O55" s="1025">
        <f>O27+O40+O51+O52+O43+O44+O47+O48</f>
        <v>15270.919779565644</v>
      </c>
      <c r="P55" s="1025">
        <f>P27+P40+P51+P52+P43+P44+P47+P48</f>
        <v>16670.922505962233</v>
      </c>
      <c r="Q55" s="1025">
        <f>Q27+Q40+Q51+Q52+Q43+Q44+Q47+Q48</f>
        <v>17508.137246065769</v>
      </c>
      <c r="R55" s="1025">
        <f>R27+R40+R51+R52+R43+R44+R47+R48</f>
        <v>19000.563495009552</v>
      </c>
      <c r="S55" s="1025">
        <f>S27+S40+S51+S52+S43+S44+S47+S48</f>
        <v>20542.267617079440</v>
      </c>
      <c r="T55" s="1025">
        <f>T27+T40+T51+T52+T43+T44+T47+T48</f>
        <v>21527.338230147536</v>
      </c>
      <c r="U55" s="1025">
        <f>U27+U40+U51+U52+U43+U44+U47+U48</f>
        <v>23169.928905842946</v>
      </c>
      <c r="V55" s="1025">
        <f>V27+V40+V51+V52+V43+V44+V47+V48</f>
        <v>24867.262354453174</v>
      </c>
      <c r="W55" s="1025">
        <f>W27+W40+W51+W52+W43+W44+W47+W48</f>
        <v>25766.713273178884</v>
      </c>
      <c r="X55" s="1025">
        <f>X27+X40+X51+X52+X43+X44+X47+X48</f>
        <v>27574.137488544318</v>
      </c>
      <c r="Y55" s="1025">
        <f>Y27+Y40+Y51+Y52+Y43+Y44+Y47+Y48</f>
        <v>29439.272344456571</v>
      </c>
      <c r="Z55" s="1025">
        <f>Z27+Z40+Z51+Z52+Z43+Z44+Z47+Z48</f>
        <v>30391.734329702467</v>
      </c>
      <c r="AA55" s="1025">
        <f>AA27+AA40+AA51+AA52+AA43+AA44+AA47+AA48</f>
        <v>32377.832158680314</v>
      </c>
      <c r="AB55" s="1025">
        <f>AB27+AB40+AB51+AB52+AB43+AB44+AB47+AB48</f>
        <v>34427.160351522907</v>
      </c>
      <c r="AC55" s="1025">
        <f>AC27+AC40+AC51+AC52+AC43+AC44+AC47+AC48</f>
        <v>35446.591777541216</v>
      </c>
      <c r="AD55" s="1025">
        <f>AD27+AD40+AD51+AD52+AD43+AD44+AD47+AD48</f>
        <v>37627.903130779923</v>
      </c>
      <c r="AE55" s="1025">
        <f>AE27+AE40+AE51+AE52+AE43+AE44+AE47+AE48</f>
        <v>39879.571717615363</v>
      </c>
      <c r="AF55" s="1025">
        <f>AF27+AF40+AF51+AF52+AF43+AF44+AF47+AF48</f>
        <v>40741.875314520425</v>
      </c>
      <c r="AG55" s="1025">
        <f>AG27+AG40+AG51+AG52+AG43+AG44+AG47+AG48</f>
        <v>43135.606336709512</v>
      </c>
      <c r="AH55" s="1025">
        <f>AH27+AH40+AH51+AH52+AH43+AH44+AH47+AH48</f>
        <v>45482.532754628053</v>
      </c>
      <c r="AI55" s="1025">
        <f>AI27+AI40+AI51+AI52+AI43+AI44+AI47+AI48</f>
        <v>37038.610204985722</v>
      </c>
      <c r="AJ55" s="1025">
        <f>AJ27+AJ40+AJ51+AJ52+AJ43+AJ44+AJ47+AJ48</f>
        <v>39029.669047817726</v>
      </c>
      <c r="AK55" s="1025">
        <f>AK27+AK40+AK51+AK52+AK43+AK44+AK47+AK48</f>
        <v>41085.621058618090</v>
      </c>
      <c r="AL55" s="1025">
        <f>AL27+AL40+AL51+AL52+AL43+AL44+AL47+AL48</f>
        <v>43206.854889439288</v>
      </c>
      <c r="AM55" s="1025">
        <f>AM27+AM40+AM51+AM52+AM43+AM44+AM47+AM48</f>
        <v>45395.828211180451</v>
      </c>
      <c r="AN55" s="1025">
        <f>AN27+AN40+AN51+AN52+AN43+AN44+AN47+AN48</f>
        <v>47655.074920949141</v>
      </c>
      <c r="AO55" s="1025">
        <f>AO27+AO40+AO51+AO52+AO43+AO44+AO47+AO48</f>
        <v>49987.207441328057</v>
      </c>
      <c r="AP55" s="1025">
        <f>AP27+AP40+AP51+AP52+AP43+AP44+AP47+AP48</f>
        <v>52392.914088682090</v>
      </c>
      <c r="AQ55" s="1025">
        <f>AQ27+AQ40+AQ51+AQ52+AQ43+AQ44+AQ47+AQ48</f>
        <v>54876.9664875773</v>
      </c>
      <c r="AR55" s="1025">
        <f>AR27+AR40+AR51+AR52+AR43+AR44+AR47+AR48</f>
        <v>57439.219583320570</v>
      </c>
      <c r="AS55" s="1025">
        <f>AS27+AS40+AS51+AS52+AS43+AS44+AS47+AS48</f>
        <v>60082.609217441692</v>
      </c>
      <c r="AT55" s="1025">
        <f>AT27+AT40+AT51+AT52+AT43+AT44+AT47+AT48</f>
        <v>62809.159755819579</v>
      </c>
      <c r="AU55" s="1025">
        <f>AU27+AU40+AU51+AU52+AU43+AU44+AU47+AU48</f>
        <v>65623.991821658055</v>
      </c>
      <c r="AV55" s="1025">
        <f>AV27+AV40+AV51+AV52+AV43+AV44+AV47+AV48</f>
        <v>68527.320135837508</v>
      </c>
      <c r="AW55" s="1025">
        <f>AW27+AW40+AW51+AW52+AW43+AW44+AW47+AW48</f>
        <v>71521.448917239992</v>
      </c>
      <c r="AX55" s="1025">
        <f>AX27+AX40+AX51+AX52+AX43+AX44+AX47+AX48</f>
        <v>74610.784832971214</v>
      </c>
      <c r="AY55" s="1025">
        <f>AY27+AY40+AY51+AY52+AY43+AY44+AY47+AY48</f>
        <v>77796.837588415408</v>
      </c>
      <c r="AZ55" s="1025">
        <f>AZ27+AZ40+AZ51+AZ52+AZ43+AZ44+AZ47+AZ48</f>
        <v>81084.223097575188</v>
      </c>
      <c r="BA55" s="1025">
        <f>BA27+BA40+BA51+BA52+BA43+BA44+BA47+BA48</f>
        <v>84475.669248917344</v>
      </c>
      <c r="BB55" s="1025">
        <f>BB27+BB40+BB51+BB52+BB43+BB44+BB47+BB48</f>
        <v>87973.011782091824</v>
      </c>
    </row>
    <row r="56" s="978" customFormat="1" ht="15.75" customHeight="1">
      <c r="A56" s="1038"/>
      <c r="B56" s="1038"/>
      <c r="C56" s="1039"/>
      <c r="D56" s="1039"/>
      <c r="E56" s="1039"/>
      <c r="F56" s="1039"/>
      <c r="G56" s="1039"/>
      <c r="H56" s="1039"/>
      <c r="I56" s="1039"/>
      <c r="J56" s="1039"/>
      <c r="K56" s="1039"/>
      <c r="L56" s="1039"/>
      <c r="M56" s="1039"/>
      <c r="N56" s="1039"/>
      <c r="O56" s="1039"/>
      <c r="P56" s="1039"/>
      <c r="Q56" s="1039"/>
      <c r="R56" s="1039"/>
      <c r="S56" s="1039"/>
      <c r="T56" s="1039"/>
      <c r="U56" s="1039"/>
      <c r="V56" s="1039"/>
      <c r="W56" s="1039"/>
      <c r="X56" s="1039"/>
      <c r="Y56" s="1039"/>
      <c r="Z56" s="1039"/>
      <c r="AA56" s="1039"/>
      <c r="AB56" s="1039"/>
      <c r="AC56" s="1039"/>
      <c r="AD56" s="1039"/>
      <c r="AE56" s="1039"/>
      <c r="AF56" s="1039"/>
      <c r="AG56" s="1039"/>
      <c r="AH56" s="1039"/>
      <c r="AI56" s="1039"/>
      <c r="AJ56" s="1039"/>
      <c r="AK56" s="1039"/>
      <c r="AL56" s="1039"/>
      <c r="AM56" s="1039"/>
      <c r="AN56" s="1039"/>
      <c r="AO56" s="1039"/>
      <c r="AP56" s="1039"/>
      <c r="AQ56" s="1039"/>
      <c r="AR56" s="1039"/>
      <c r="AS56" s="1039"/>
      <c r="AT56" s="1039"/>
      <c r="AU56" s="1039"/>
      <c r="AV56" s="1039"/>
      <c r="AW56" s="1039"/>
      <c r="AX56" s="1039"/>
      <c r="AY56" s="1039"/>
      <c r="AZ56" s="1039"/>
      <c r="BA56" s="1039"/>
      <c r="BB56" s="1039"/>
    </row>
    <row r="57" s="1011" customFormat="1" ht="16.5" customHeight="1">
      <c r="A57" t="s" s="1023">
        <v>1027</v>
      </c>
      <c r="B57" s="1024"/>
      <c r="C57" s="1025">
        <f>C55</f>
        <v>0</v>
      </c>
      <c r="D57" s="1025">
        <f>C57+D55</f>
        <v>-1089718</v>
      </c>
      <c r="E57" s="1025">
        <f>D57+E55</f>
        <v>783.0059722221922</v>
      </c>
      <c r="F57" s="1025">
        <f>F55+E57</f>
        <v>8095.002502083298</v>
      </c>
      <c r="G57" s="1025">
        <f>G55+F57</f>
        <v>16457.254934593708</v>
      </c>
      <c r="H57" s="1025">
        <f>H55+G57</f>
        <v>23955.727336866672</v>
      </c>
      <c r="I57" s="1025">
        <f>I55+H57</f>
        <v>32567.913075179</v>
      </c>
      <c r="J57" s="1025">
        <f>J55+I57</f>
        <v>42332.328995431730</v>
      </c>
      <c r="K57" s="1025">
        <f>K55+J57</f>
        <v>52921.035674882034</v>
      </c>
      <c r="L57" s="1025">
        <f>L55+K57</f>
        <v>64739.288461501288</v>
      </c>
      <c r="M57" s="1025">
        <f>M55+L57</f>
        <v>77828.793813038486</v>
      </c>
      <c r="N57" s="1025">
        <f>N55+M57</f>
        <v>91743.991171347763</v>
      </c>
      <c r="O57" s="1025">
        <f>O55+N57</f>
        <v>107014.9109509134</v>
      </c>
      <c r="P57" s="1025">
        <f>P55+O57</f>
        <v>123685.8334568756</v>
      </c>
      <c r="Q57" s="1025">
        <f>Q55+P57</f>
        <v>141193.9707029414</v>
      </c>
      <c r="R57" s="1025">
        <f>R55+Q57</f>
        <v>160194.534197951</v>
      </c>
      <c r="S57" s="1025">
        <f>S55+R57</f>
        <v>180736.8018150304</v>
      </c>
      <c r="T57" s="1025">
        <f>T55+S57</f>
        <v>202264.1400451779</v>
      </c>
      <c r="U57" s="1025">
        <f>U55+T57</f>
        <v>225434.0689510209</v>
      </c>
      <c r="V57" s="1025">
        <f>V55+U57</f>
        <v>250301.3313054741</v>
      </c>
      <c r="W57" s="1025">
        <f>W55+V57</f>
        <v>276068.0445786529</v>
      </c>
      <c r="X57" s="1025">
        <f>X55+W57</f>
        <v>303642.1820671973</v>
      </c>
      <c r="Y57" s="1025">
        <f>Y55+X57</f>
        <v>333081.4544116539</v>
      </c>
      <c r="Z57" s="1025">
        <f>Z55+Y57</f>
        <v>363473.1887413563</v>
      </c>
      <c r="AA57" s="1025">
        <f>AA55+Z57</f>
        <v>395851.0209000366</v>
      </c>
      <c r="AB57" s="1025">
        <f>AB55+AA57</f>
        <v>430278.1812515595</v>
      </c>
      <c r="AC57" s="1025">
        <f>AC55+AB57</f>
        <v>465724.7730291007</v>
      </c>
      <c r="AD57" s="1025">
        <f>AD55+AC57</f>
        <v>503352.6761598806</v>
      </c>
      <c r="AE57" s="1025">
        <f>AE55+AD57</f>
        <v>543232.2478774961</v>
      </c>
      <c r="AF57" s="1025">
        <f>AF55+AE57</f>
        <v>583974.1231920165</v>
      </c>
      <c r="AG57" s="1025">
        <f>AG55+AF57</f>
        <v>627109.729528726</v>
      </c>
      <c r="AH57" s="1025">
        <f>AH55+AG57</f>
        <v>672592.2622833541</v>
      </c>
      <c r="AI57" s="1025">
        <f>AI55+AH57</f>
        <v>709630.8724883398</v>
      </c>
      <c r="AJ57" s="1025">
        <f>AJ55+AI57</f>
        <v>748660.5415361575</v>
      </c>
      <c r="AK57" s="1025">
        <f>AK55+AJ57</f>
        <v>789746.1625947756</v>
      </c>
      <c r="AL57" s="1025">
        <f>AL55+AK57</f>
        <v>832953.0174842149</v>
      </c>
      <c r="AM57" s="1025">
        <f>AM55+AL57</f>
        <v>878348.8456953953</v>
      </c>
      <c r="AN57" s="1025">
        <f>AN55+AM57</f>
        <v>926003.9206163444</v>
      </c>
      <c r="AO57" s="1025">
        <f>AO55+AN57</f>
        <v>975991.1280576725</v>
      </c>
      <c r="AP57" s="1025">
        <f>AP55+AO57</f>
        <v>1028384.042146355</v>
      </c>
      <c r="AQ57" s="1025">
        <f>AQ55+AP57</f>
        <v>1083261.008633932</v>
      </c>
      <c r="AR57" s="1025">
        <f>AR55+AQ57</f>
        <v>1140700.228217253</v>
      </c>
      <c r="AS57" s="1025">
        <f>AS55+AR57</f>
        <v>1200782.837434694</v>
      </c>
      <c r="AT57" s="1025">
        <f>AT55+AS57</f>
        <v>1263591.997190514</v>
      </c>
      <c r="AU57" s="1025">
        <f>AU55+AT57</f>
        <v>1329215.989012172</v>
      </c>
      <c r="AV57" s="1025">
        <f>AV55+AU57</f>
        <v>1397743.309148009</v>
      </c>
      <c r="AW57" s="1025">
        <f>AW55+AV57</f>
        <v>1469264.758065249</v>
      </c>
      <c r="AX57" s="1025">
        <f>AX55+AW57</f>
        <v>1543875.54289822</v>
      </c>
      <c r="AY57" s="1025">
        <f>AY55+AX57</f>
        <v>1621672.380486636</v>
      </c>
      <c r="AZ57" s="1025">
        <f>AZ55+AY57</f>
        <v>1702756.603584211</v>
      </c>
      <c r="BA57" s="1025">
        <f>BA55+AZ57</f>
        <v>1787232.272833128</v>
      </c>
      <c r="BB57" s="1025">
        <f>BB55+BA57</f>
        <v>1875205.28461522</v>
      </c>
    </row>
    <row r="58" s="978" customFormat="1" ht="15.75" customHeight="1">
      <c r="A58" s="1040"/>
      <c r="B58" s="1041"/>
      <c r="C58" s="1042"/>
      <c r="D58" s="1042"/>
      <c r="E58" s="1042"/>
      <c r="F58" s="1042"/>
      <c r="G58" s="1042"/>
      <c r="H58" s="1042"/>
      <c r="I58" s="1042"/>
      <c r="J58" s="1042"/>
      <c r="K58" s="1042"/>
      <c r="L58" s="1042"/>
      <c r="M58" s="1042"/>
      <c r="N58" s="1042"/>
      <c r="O58" s="1042"/>
      <c r="P58" s="1042"/>
      <c r="Q58" s="1042"/>
      <c r="R58" s="1042"/>
      <c r="S58" s="1042"/>
      <c r="T58" s="1042"/>
      <c r="U58" s="1042"/>
      <c r="V58" s="1042"/>
      <c r="W58" s="1042"/>
      <c r="X58" s="1042"/>
      <c r="Y58" s="1042"/>
      <c r="Z58" s="1042"/>
      <c r="AA58" s="1042"/>
      <c r="AB58" s="1042"/>
      <c r="AC58" s="1042"/>
      <c r="AD58" s="1042"/>
      <c r="AE58" s="1042"/>
      <c r="AF58" s="1042"/>
      <c r="AG58" s="1042"/>
      <c r="AH58" s="1042"/>
      <c r="AI58" s="1042"/>
      <c r="AJ58" s="1042"/>
      <c r="AK58" s="1042"/>
      <c r="AL58" s="1042"/>
      <c r="AM58" s="1042"/>
      <c r="AN58" s="1042"/>
      <c r="AO58" s="1042"/>
      <c r="AP58" s="1042"/>
      <c r="AQ58" s="1042"/>
      <c r="AR58" s="1042"/>
      <c r="AS58" s="1042"/>
      <c r="AT58" s="1042"/>
      <c r="AU58" s="1042"/>
      <c r="AV58" s="1042"/>
      <c r="AW58" s="1042"/>
      <c r="AX58" s="1042"/>
      <c r="AY58" s="1042"/>
      <c r="AZ58" s="1042"/>
      <c r="BA58" s="1042"/>
      <c r="BB58" s="1043"/>
    </row>
    <row r="395" s="58" customFormat="1" ht="15" customHeight="1" hidden="1">
      <c r="A395" s="1044">
        <v>42939</v>
      </c>
    </row>
    <row r="400" s="58" customFormat="1" ht="15" customHeight="1" hidden="1">
      <c r="A400" s="1044">
        <v>42975</v>
      </c>
    </row>
  </sheetData>
  <conditionalFormatting sqref="B43 E43:BB49">
    <cfRule type="cellIs" dxfId="1" priority="1" operator="greaterThan" stopIfTrue="1">
      <formula>0</formula>
    </cfRule>
  </conditionalFormatting>
  <pageMargins left="0.75" right="0.75" top="1" bottom="1" header="0.5" footer="0.5"/>
  <pageSetup firstPageNumber="1" fitToHeight="1" fitToWidth="1" scale="100" useFirstPageNumber="0" orientation="portrait" pageOrder="downThenOver"/>
  <headerFooter>
    <oddFooter>&amp;L&amp;"Helvetica,Regular"&amp;12&amp;K000000	&amp;P</oddFooter>
  </headerFooter>
</worksheet>
</file>

<file path=xl/worksheets/sheet27.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256" width="10" customWidth="1"/>
  </cols>
  <sheetData/>
  <pageMargins left="0.75" right="0.75" top="1" bottom="1" header="0.5" footer="0.5"/>
  <pageSetup firstPageNumber="1" fitToHeight="1" fitToWidth="1" scale="100" useFirstPageNumber="0" orientation="portrait" pageOrder="downThenOver"/>
  <headerFooter>
    <oddFooter>&amp;L&amp;"Helvetica,Regular"&amp;12&amp;K000000	&amp;P</oddFooter>
  </headerFooter>
  <drawing r:id="rId1"/>
  <legacyDrawing r:id="rId2"/>
</worksheet>
</file>

<file path=xl/worksheets/sheet28.xml><?xml version="1.0" encoding="utf-8"?>
<worksheet xmlns:r="http://schemas.openxmlformats.org/officeDocument/2006/relationships" xmlns="http://schemas.openxmlformats.org/spreadsheetml/2006/main">
  <sheetPr>
    <pageSetUpPr fitToPage="1"/>
  </sheetPr>
  <dimension ref="B2:F11"/>
  <sheetViews>
    <sheetView workbookViewId="0" showGridLines="0" defaultGridColor="1">
      <pane topLeftCell="C3" xSplit="2" ySplit="2" activePane="bottomRight" state="frozenSplit"/>
    </sheetView>
  </sheetViews>
  <sheetFormatPr defaultColWidth="12.25" defaultRowHeight="18" customHeight="1" outlineLevelRow="0" outlineLevelCol="0"/>
  <cols>
    <col min="1" max="1" width="0.25" style="1045" customWidth="1"/>
    <col min="2" max="2" width="12.25" style="1045" customWidth="1"/>
    <col min="3" max="3" width="12.25" style="1045" customWidth="1"/>
    <col min="4" max="4" width="12.25" style="1045" customWidth="1"/>
    <col min="5" max="5" width="12.25" style="1045" customWidth="1"/>
    <col min="6" max="6" width="12.25" style="1045" customWidth="1"/>
    <col min="7" max="256" width="12.25" style="1045" customWidth="1"/>
  </cols>
  <sheetData>
    <row r="1" ht="2" customHeight="1"/>
    <row r="2" ht="20.55" customHeight="1">
      <c r="B2" s="195"/>
      <c r="C2" s="195"/>
      <c r="D2" s="195"/>
      <c r="E2" s="195"/>
      <c r="F2" s="195"/>
    </row>
    <row r="3" ht="20.55" customHeight="1">
      <c r="B3" s="196"/>
      <c r="C3" s="197"/>
      <c r="D3" s="197"/>
      <c r="E3" s="197"/>
      <c r="F3" s="197"/>
    </row>
    <row r="4" ht="20.35" customHeight="1">
      <c r="B4" s="196"/>
      <c r="C4" s="197"/>
      <c r="D4" s="197"/>
      <c r="E4" s="197"/>
      <c r="F4" s="197"/>
    </row>
    <row r="5" ht="20.35" customHeight="1">
      <c r="B5" s="196"/>
      <c r="C5" s="197"/>
      <c r="D5" s="197"/>
      <c r="E5" s="197"/>
      <c r="F5" s="197"/>
    </row>
    <row r="6" ht="20.35" customHeight="1">
      <c r="B6" s="196"/>
      <c r="C6" s="197"/>
      <c r="D6" s="197"/>
      <c r="E6" s="197"/>
      <c r="F6" s="197"/>
    </row>
    <row r="7" ht="20.35" customHeight="1">
      <c r="B7" s="196"/>
      <c r="C7" s="197"/>
      <c r="D7" s="197"/>
      <c r="E7" s="197"/>
      <c r="F7" s="197"/>
    </row>
    <row r="8" ht="20.35" customHeight="1">
      <c r="B8" s="196"/>
      <c r="C8" s="197"/>
      <c r="D8" s="197"/>
      <c r="E8" s="197"/>
      <c r="F8" s="197"/>
    </row>
    <row r="9" ht="20.35" customHeight="1">
      <c r="B9" s="196"/>
      <c r="C9" s="197"/>
      <c r="D9" s="197"/>
      <c r="E9" s="197"/>
      <c r="F9" s="197"/>
    </row>
    <row r="10" ht="20.35" customHeight="1">
      <c r="B10" s="196"/>
      <c r="C10" s="197"/>
      <c r="D10" s="197"/>
      <c r="E10" s="197"/>
      <c r="F10" s="197"/>
    </row>
    <row r="11" ht="20.35" customHeight="1">
      <c r="B11" s="196"/>
      <c r="C11" s="197"/>
      <c r="D11" s="197"/>
      <c r="E11" s="197"/>
      <c r="F11" s="197"/>
    </row>
  </sheetData>
  <pageMargins left="0.75" right="0.75" top="1" bottom="1" header="0.5" footer="0.5"/>
  <pageSetup firstPageNumber="1" fitToHeight="1" fitToWidth="1" scale="100" useFirstPageNumber="0" orientation="portrait" pageOrder="downThenOver"/>
  <headerFooter>
    <oddFooter>&amp;L&amp;"Helvetica,Regular"&amp;12&amp;K000000	&amp;P</oddFooter>
  </headerFooter>
</worksheet>
</file>

<file path=xl/worksheets/sheet29.xml><?xml version="1.0" encoding="utf-8"?>
<worksheet xmlns:r="http://schemas.openxmlformats.org/officeDocument/2006/relationships" xmlns="http://schemas.openxmlformats.org/spreadsheetml/2006/main">
  <dimension ref="A1:BW405"/>
  <sheetViews>
    <sheetView workbookViewId="0" defaultGridColor="0" colorId="16"/>
  </sheetViews>
  <sheetFormatPr defaultColWidth="6.625" defaultRowHeight="15" customHeight="1" outlineLevelRow="0" outlineLevelCol="0"/>
  <cols>
    <col min="1" max="1" width="22.75" style="1047" customWidth="1"/>
    <col min="2" max="2" width="8.625" style="1047" customWidth="1"/>
    <col min="3" max="3" width="9" style="1047" customWidth="1"/>
    <col min="4" max="4" width="12" style="1047" customWidth="1"/>
    <col min="5" max="5" width="10.875" style="1047" customWidth="1"/>
    <col min="6" max="6" width="10.875" style="1047" customWidth="1"/>
    <col min="7" max="7" width="12.25" style="1047" customWidth="1"/>
    <col min="8" max="8" width="12.25" style="1047" customWidth="1"/>
    <col min="9" max="9" width="12.25" style="1047" customWidth="1"/>
    <col min="10" max="10" width="12.25" style="1047" customWidth="1"/>
    <col min="11" max="11" width="12.25" style="1047" customWidth="1"/>
    <col min="12" max="12" width="12.25" style="1047" customWidth="1"/>
    <col min="13" max="13" width="12.25" style="1047" customWidth="1"/>
    <col min="14" max="14" width="12.25" style="1047" customWidth="1"/>
    <col min="15" max="15" width="12.25" style="1047" customWidth="1"/>
    <col min="16" max="16" width="12.25" style="1047" customWidth="1"/>
    <col min="17" max="17" width="12.25" style="1047" customWidth="1"/>
    <col min="18" max="18" width="12.25" style="1047" customWidth="1"/>
    <col min="19" max="19" width="10.125" style="1047" customWidth="1"/>
    <col min="20" max="20" width="10.125" style="1047" customWidth="1"/>
    <col min="21" max="21" width="10.125" style="1047" customWidth="1"/>
    <col min="22" max="22" width="10.125" style="1047" customWidth="1"/>
    <col min="23" max="23" width="10.125" style="1047" customWidth="1"/>
    <col min="24" max="24" width="10.125" style="1047" customWidth="1"/>
    <col min="25" max="25" width="10.125" style="1047" customWidth="1"/>
    <col min="26" max="26" width="10.125" style="1047" customWidth="1"/>
    <col min="27" max="27" width="10.125" style="1047" customWidth="1"/>
    <col min="28" max="28" width="12.25" style="1047" customWidth="1"/>
    <col min="29" max="29" width="12.25" style="1047" customWidth="1"/>
    <col min="30" max="30" width="12.25" style="1047" customWidth="1"/>
    <col min="31" max="31" width="12.25" style="1047" customWidth="1"/>
    <col min="32" max="32" width="12.25" style="1047" customWidth="1"/>
    <col min="33" max="33" width="12.25" style="1047" customWidth="1"/>
    <col min="34" max="34" width="10.125" style="1047" customWidth="1"/>
    <col min="35" max="35" width="10.125" style="1047" customWidth="1"/>
    <col min="36" max="36" width="10.125" style="1047" customWidth="1"/>
    <col min="37" max="37" width="10.125" style="1047" customWidth="1"/>
    <col min="38" max="38" width="10.125" style="1047" customWidth="1"/>
    <col min="39" max="39" width="10.125" style="1047" customWidth="1"/>
    <col min="40" max="40" width="10.125" style="1047" customWidth="1"/>
    <col min="41" max="41" width="10.125" style="1047" customWidth="1"/>
    <col min="42" max="42" width="10.125" style="1047" customWidth="1"/>
    <col min="43" max="43" width="10.125" style="1047" customWidth="1"/>
    <col min="44" max="44" width="10.125" style="1047" customWidth="1"/>
    <col min="45" max="45" width="10.125" style="1047" customWidth="1"/>
    <col min="46" max="46" width="10.125" style="1047" customWidth="1"/>
    <col min="47" max="47" width="10.125" style="1047" customWidth="1"/>
    <col min="48" max="48" width="10.125" style="1047" customWidth="1"/>
    <col min="49" max="49" width="10.125" style="1047" customWidth="1"/>
    <col min="50" max="50" width="10.125" style="1047" customWidth="1"/>
    <col min="51" max="51" width="10.125" style="1047" customWidth="1"/>
    <col min="52" max="52" width="10.125" style="1047" customWidth="1"/>
    <col min="53" max="53" width="10.125" style="1047" customWidth="1"/>
    <col min="54" max="54" width="10.125" style="1047" customWidth="1"/>
    <col min="55" max="55" width="8.625" style="1047" customWidth="1"/>
    <col min="56" max="56" hidden="1" width="6.625" style="1047" customWidth="1"/>
    <col min="57" max="57" hidden="1" width="6.625" style="1047" customWidth="1"/>
    <col min="58" max="58" hidden="1" width="6.625" style="1047" customWidth="1"/>
    <col min="59" max="59" hidden="1" width="6.625" style="1047" customWidth="1"/>
    <col min="60" max="60" hidden="1" width="6.625" style="1047" customWidth="1"/>
    <col min="61" max="61" hidden="1" width="6.625" style="1047" customWidth="1"/>
    <col min="62" max="62" hidden="1" width="6.625" style="1047" customWidth="1"/>
    <col min="63" max="63" hidden="1" width="6.625" style="1047" customWidth="1"/>
    <col min="64" max="64" hidden="1" width="6.625" style="1047" customWidth="1"/>
    <col min="65" max="65" hidden="1" width="6.625" style="1047" customWidth="1"/>
    <col min="66" max="66" hidden="1" width="6.625" style="1047" customWidth="1"/>
    <col min="67" max="67" hidden="1" width="6.625" style="1047" customWidth="1"/>
    <col min="68" max="68" hidden="1" width="6.625" style="1047" customWidth="1"/>
    <col min="69" max="69" hidden="1" width="6.625" style="1047" customWidth="1"/>
    <col min="70" max="70" hidden="1" width="6.625" style="1047" customWidth="1"/>
    <col min="71" max="71" hidden="1" width="6.625" style="1047" customWidth="1"/>
    <col min="72" max="72" hidden="1" width="6.625" style="1047" customWidth="1"/>
    <col min="73" max="73" hidden="1" width="6.625" style="1047" customWidth="1"/>
    <col min="74" max="74" hidden="1" width="6.625" style="1047" customWidth="1"/>
    <col min="75" max="75" hidden="1" width="6.625" style="1047" customWidth="1"/>
    <col min="76" max="256" width="6.625" style="1046" customWidth="1"/>
  </cols>
  <sheetData>
    <row r="1" s="978" customFormat="1" ht="18" customHeight="1">
      <c r="A1" t="s" s="979">
        <v>76</v>
      </c>
      <c r="B1" t="s" s="981">
        <f>'Cash Flow'!C1</f>
        <v>950</v>
      </c>
      <c r="C1" s="980"/>
      <c r="D1" s="754"/>
      <c r="E1" s="1048"/>
      <c r="F1" s="662"/>
      <c r="G1" s="1049"/>
      <c r="H1" s="1049"/>
      <c r="I1" s="48"/>
      <c r="J1" s="662"/>
      <c r="K1" s="1049"/>
      <c r="L1" s="9"/>
      <c r="M1" s="662"/>
      <c r="N1" s="1049"/>
      <c r="O1" s="1049"/>
      <c r="P1" s="1049"/>
      <c r="Q1" s="1049"/>
      <c r="R1" s="1049"/>
      <c r="S1" s="1049"/>
      <c r="T1" s="1049"/>
      <c r="U1" s="1049"/>
      <c r="V1" s="1049"/>
      <c r="W1" s="1049"/>
      <c r="X1" s="1049"/>
      <c r="Y1" s="1049"/>
      <c r="Z1" s="1049"/>
      <c r="AA1" s="1049"/>
      <c r="AB1" s="1049"/>
      <c r="AC1" s="1049"/>
      <c r="AD1" s="1049"/>
      <c r="AE1" s="1049"/>
      <c r="AF1" s="1049"/>
      <c r="AG1" s="1049"/>
      <c r="AH1" s="1049"/>
      <c r="AI1" s="1049"/>
      <c r="AJ1" s="1049"/>
      <c r="AK1" s="1049"/>
      <c r="AL1" s="1049"/>
      <c r="AM1" s="1049"/>
      <c r="AN1" s="1049"/>
      <c r="AO1" s="1049"/>
      <c r="AP1" s="1049"/>
      <c r="AQ1" s="1049"/>
      <c r="AR1" s="1049"/>
      <c r="AS1" s="1049"/>
      <c r="AT1" s="1049"/>
      <c r="AU1" s="1049"/>
      <c r="AV1" s="1049"/>
      <c r="AW1" s="1049"/>
      <c r="AX1" s="1049"/>
      <c r="AY1" s="1049"/>
      <c r="AZ1" s="1049"/>
      <c r="BA1" s="1049"/>
      <c r="BB1" s="1049"/>
    </row>
    <row r="2" s="978" customFormat="1" ht="18" customHeight="1">
      <c r="A2" s="985"/>
      <c r="B2" s="127"/>
      <c r="C2" s="127"/>
      <c r="D2" s="86"/>
      <c r="E2" s="9"/>
      <c r="F2" s="9"/>
      <c r="G2" s="9"/>
      <c r="H2" s="9"/>
      <c r="I2" s="56"/>
      <c r="J2" s="12"/>
      <c r="K2" s="9"/>
      <c r="L2" s="9"/>
      <c r="M2" s="12"/>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row>
    <row r="3" s="978" customFormat="1" ht="18" customHeight="1">
      <c r="A3" t="s" s="1050">
        <v>1031</v>
      </c>
      <c r="B3" s="127"/>
      <c r="C3" s="127"/>
      <c r="D3" s="86"/>
      <c r="E3" s="9"/>
      <c r="F3" s="9"/>
      <c r="G3" s="9"/>
      <c r="H3" s="9"/>
      <c r="I3" s="56"/>
      <c r="J3" s="56"/>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row>
    <row r="4" s="978" customFormat="1" ht="18" customHeight="1">
      <c r="A4" s="1051"/>
      <c r="B4" s="1052"/>
      <c r="C4" s="1052"/>
      <c r="D4" s="881"/>
      <c r="E4" s="1053"/>
      <c r="F4" s="1053"/>
      <c r="G4" s="1053"/>
      <c r="H4" s="1053"/>
      <c r="I4" s="1054"/>
      <c r="J4" s="133"/>
      <c r="K4" s="1053"/>
      <c r="L4" s="1055"/>
      <c r="M4" s="1053"/>
      <c r="N4" s="1053"/>
      <c r="O4" s="1053"/>
      <c r="P4" s="1053"/>
      <c r="Q4" s="1053"/>
      <c r="R4" s="1053"/>
      <c r="S4" s="1053"/>
      <c r="T4" s="1053"/>
      <c r="U4" s="1053"/>
      <c r="V4" s="1053"/>
      <c r="W4" s="1053"/>
      <c r="X4" s="1053"/>
      <c r="Y4" s="1053"/>
      <c r="Z4" s="1053"/>
      <c r="AA4" s="1053"/>
      <c r="AB4" s="1053"/>
      <c r="AC4" s="1053"/>
      <c r="AD4" s="1053"/>
      <c r="AE4" s="1053"/>
      <c r="AF4" s="1053"/>
      <c r="AG4" s="1053"/>
      <c r="AH4" s="1053"/>
      <c r="AI4" s="1053"/>
      <c r="AJ4" s="1053"/>
      <c r="AK4" s="1053"/>
      <c r="AL4" s="1053"/>
      <c r="AM4" s="1053"/>
      <c r="AN4" s="1053"/>
      <c r="AO4" s="1053"/>
      <c r="AP4" s="1053"/>
      <c r="AQ4" s="1053"/>
      <c r="AR4" s="1053"/>
      <c r="AS4" s="1053"/>
      <c r="AT4" s="1053"/>
      <c r="AU4" s="1053"/>
      <c r="AV4" s="1053"/>
      <c r="AW4" s="1053"/>
      <c r="AX4" s="1053"/>
      <c r="AY4" s="1053"/>
      <c r="AZ4" s="1053"/>
      <c r="BA4" s="1053"/>
      <c r="BB4" s="1053"/>
    </row>
    <row r="5" s="978" customFormat="1" ht="18" customHeight="1">
      <c r="A5" s="1056"/>
      <c r="B5" s="1057"/>
      <c r="C5" s="1006">
        <f>'Cash Flow'!C9</f>
        <v>2018</v>
      </c>
      <c r="D5" s="1006">
        <f>'Cash Flow'!D9</f>
        <v>2019</v>
      </c>
      <c r="E5" s="1006">
        <f>'Cash Flow'!E9</f>
        <v>2020</v>
      </c>
      <c r="F5" s="1006">
        <f>'Cash Flow'!F9</f>
        <v>2021</v>
      </c>
      <c r="G5" s="1006">
        <f>'Cash Flow'!G9</f>
        <v>2022</v>
      </c>
      <c r="H5" s="1006">
        <f>'Cash Flow'!H9</f>
        <v>2023</v>
      </c>
      <c r="I5" s="1006">
        <f>'Cash Flow'!I9</f>
        <v>2024</v>
      </c>
      <c r="J5" s="1006">
        <f>'Cash Flow'!J9</f>
        <v>2025</v>
      </c>
      <c r="K5" s="1006">
        <f>'Cash Flow'!K9</f>
        <v>2026</v>
      </c>
      <c r="L5" s="1006">
        <f>'Cash Flow'!L9</f>
        <v>2027</v>
      </c>
      <c r="M5" s="1006">
        <f>'Cash Flow'!M9</f>
        <v>2028</v>
      </c>
      <c r="N5" s="1006">
        <f>'Cash Flow'!N9</f>
        <v>2029</v>
      </c>
      <c r="O5" s="1006">
        <f>'Cash Flow'!O9</f>
        <v>2030</v>
      </c>
      <c r="P5" s="1006">
        <f>'Cash Flow'!P9</f>
        <v>2031</v>
      </c>
      <c r="Q5" s="1006">
        <f>'Cash Flow'!Q9</f>
        <v>2032</v>
      </c>
      <c r="R5" s="1006">
        <f>'Cash Flow'!R9</f>
        <v>2033</v>
      </c>
      <c r="S5" s="1006">
        <f>'Cash Flow'!S9</f>
        <v>2034</v>
      </c>
      <c r="T5" s="1006">
        <f>'Cash Flow'!T9</f>
        <v>2035</v>
      </c>
      <c r="U5" s="1006">
        <f>'Cash Flow'!U9</f>
        <v>2036</v>
      </c>
      <c r="V5" s="1006">
        <f>'Cash Flow'!V9</f>
        <v>2037</v>
      </c>
      <c r="W5" s="1006">
        <f>'Cash Flow'!W9</f>
        <v>2038</v>
      </c>
      <c r="X5" s="1006">
        <f>'Cash Flow'!X9</f>
        <v>2039</v>
      </c>
      <c r="Y5" s="1006">
        <f>'Cash Flow'!Y9</f>
        <v>2040</v>
      </c>
      <c r="Z5" s="1006">
        <f>'Cash Flow'!Z9</f>
        <v>2041</v>
      </c>
      <c r="AA5" s="1006">
        <f>'Cash Flow'!AA9</f>
        <v>2042</v>
      </c>
      <c r="AB5" s="1006">
        <f>'Cash Flow'!AB9</f>
        <v>2043</v>
      </c>
      <c r="AC5" s="1006">
        <f>'Cash Flow'!AC9</f>
        <v>2044</v>
      </c>
      <c r="AD5" s="1006">
        <f>'Cash Flow'!AD9</f>
        <v>2045</v>
      </c>
      <c r="AE5" s="1006">
        <f>'Cash Flow'!AE9</f>
        <v>2046</v>
      </c>
      <c r="AF5" s="1006">
        <f>'Cash Flow'!AF9</f>
        <v>2047</v>
      </c>
      <c r="AG5" s="1006">
        <f>'Cash Flow'!AG9</f>
        <v>2048</v>
      </c>
      <c r="AH5" s="1006">
        <f>'Cash Flow'!AH9</f>
        <v>2049</v>
      </c>
      <c r="AI5" s="1006">
        <f>'Cash Flow'!AI9</f>
        <v>2050</v>
      </c>
      <c r="AJ5" s="1006">
        <f>'Cash Flow'!AJ9</f>
        <v>2051</v>
      </c>
      <c r="AK5" s="1006">
        <f>'Cash Flow'!AK9</f>
        <v>2052</v>
      </c>
      <c r="AL5" s="1006">
        <f>'Cash Flow'!AL9</f>
        <v>2053</v>
      </c>
      <c r="AM5" s="1006">
        <f>'Cash Flow'!AM9</f>
        <v>2054</v>
      </c>
      <c r="AN5" s="1006">
        <f>'Cash Flow'!AN9</f>
        <v>2055</v>
      </c>
      <c r="AO5" s="1006">
        <f>'Cash Flow'!AO9</f>
        <v>2056</v>
      </c>
      <c r="AP5" s="1006">
        <f>'Cash Flow'!AP9</f>
        <v>2057</v>
      </c>
      <c r="AQ5" s="1006">
        <f>'Cash Flow'!AQ9</f>
        <v>2058</v>
      </c>
      <c r="AR5" s="1006">
        <f>'Cash Flow'!AR9</f>
        <v>2059</v>
      </c>
      <c r="AS5" s="1006">
        <f>'Cash Flow'!AS9</f>
        <v>2060</v>
      </c>
      <c r="AT5" s="1006">
        <f>'Cash Flow'!AT9</f>
        <v>2061</v>
      </c>
      <c r="AU5" s="1006">
        <f>'Cash Flow'!AU9</f>
        <v>2062</v>
      </c>
      <c r="AV5" s="1006">
        <f>'Cash Flow'!AV9</f>
        <v>2063</v>
      </c>
      <c r="AW5" s="1006">
        <f>'Cash Flow'!AW9</f>
        <v>2064</v>
      </c>
      <c r="AX5" s="1006">
        <f>'Cash Flow'!AX9</f>
        <v>2065</v>
      </c>
      <c r="AY5" s="1006">
        <f>'Cash Flow'!AY9</f>
        <v>2066</v>
      </c>
      <c r="AZ5" s="1006">
        <f>'Cash Flow'!AZ9</f>
        <v>2067</v>
      </c>
      <c r="BA5" s="1006">
        <f>'Cash Flow'!BA9</f>
        <v>2068</v>
      </c>
      <c r="BB5" s="1006">
        <f>'Cash Flow'!BB9</f>
        <v>2069</v>
      </c>
    </row>
    <row r="6" s="1058" customFormat="1" ht="17" customHeight="1">
      <c r="A6" s="1010"/>
      <c r="B6" s="1010"/>
      <c r="C6" s="1008">
        <f>'Cash Flow'!C10</f>
        <v>2019</v>
      </c>
      <c r="D6" s="1008">
        <f>'Cash Flow'!D10</f>
        <v>2020</v>
      </c>
      <c r="E6" s="1009">
        <f>'Cash Flow'!E10</f>
        <v>2021</v>
      </c>
      <c r="F6" s="1010">
        <f>'Cash Flow'!F10</f>
        <v>2022</v>
      </c>
      <c r="G6" s="1010">
        <f>'Cash Flow'!G10</f>
        <v>2023</v>
      </c>
      <c r="H6" s="1010">
        <f>'Cash Flow'!H10</f>
        <v>2024</v>
      </c>
      <c r="I6" s="1010">
        <f>'Cash Flow'!I10</f>
        <v>2025</v>
      </c>
      <c r="J6" s="1010">
        <f>'Cash Flow'!J10</f>
        <v>2026</v>
      </c>
      <c r="K6" s="1010">
        <f>'Cash Flow'!K10</f>
        <v>2027</v>
      </c>
      <c r="L6" s="1010">
        <f>'Cash Flow'!L10</f>
        <v>2028</v>
      </c>
      <c r="M6" s="1010">
        <f>'Cash Flow'!M10</f>
        <v>2029</v>
      </c>
      <c r="N6" s="1010">
        <f>'Cash Flow'!N10</f>
        <v>2030</v>
      </c>
      <c r="O6" s="1010">
        <f>'Cash Flow'!O10</f>
        <v>2031</v>
      </c>
      <c r="P6" s="1010">
        <f>'Cash Flow'!P10</f>
        <v>2032</v>
      </c>
      <c r="Q6" s="1010">
        <f>'Cash Flow'!Q10</f>
        <v>2033</v>
      </c>
      <c r="R6" s="1010">
        <f>'Cash Flow'!R10</f>
        <v>2034</v>
      </c>
      <c r="S6" s="1010">
        <f>'Cash Flow'!S10</f>
        <v>2035</v>
      </c>
      <c r="T6" s="1010">
        <f>'Cash Flow'!T10</f>
        <v>2036</v>
      </c>
      <c r="U6" s="1010">
        <f>'Cash Flow'!U10</f>
        <v>2037</v>
      </c>
      <c r="V6" s="1010">
        <f>'Cash Flow'!V10</f>
        <v>2038</v>
      </c>
      <c r="W6" s="1010">
        <f>'Cash Flow'!W10</f>
        <v>2039</v>
      </c>
      <c r="X6" s="1010">
        <f>'Cash Flow'!X10</f>
        <v>2040</v>
      </c>
      <c r="Y6" s="1010">
        <f>'Cash Flow'!Y10</f>
        <v>2041</v>
      </c>
      <c r="Z6" s="1010">
        <f>'Cash Flow'!Z10</f>
        <v>2042</v>
      </c>
      <c r="AA6" s="1010">
        <f>'Cash Flow'!AA10</f>
        <v>2043</v>
      </c>
      <c r="AB6" s="1010">
        <f>'Cash Flow'!AB10</f>
        <v>2044</v>
      </c>
      <c r="AC6" s="1010">
        <f>'Cash Flow'!AC10</f>
        <v>2045</v>
      </c>
      <c r="AD6" s="1010">
        <f>'Cash Flow'!AD10</f>
        <v>2046</v>
      </c>
      <c r="AE6" s="1010">
        <f>'Cash Flow'!AE10</f>
        <v>2047</v>
      </c>
      <c r="AF6" s="1010">
        <f>'Cash Flow'!AF10</f>
        <v>2048</v>
      </c>
      <c r="AG6" s="1010">
        <f>'Cash Flow'!AG10</f>
        <v>2049</v>
      </c>
      <c r="AH6" s="1010">
        <f>'Cash Flow'!AH10</f>
        <v>2050</v>
      </c>
      <c r="AI6" s="1010">
        <f>'Cash Flow'!AI10</f>
        <v>2051</v>
      </c>
      <c r="AJ6" s="1010">
        <f>'Cash Flow'!AJ10</f>
        <v>2052</v>
      </c>
      <c r="AK6" s="1010">
        <f>'Cash Flow'!AK10</f>
        <v>2053</v>
      </c>
      <c r="AL6" s="1010">
        <f>'Cash Flow'!AL10</f>
        <v>2054</v>
      </c>
      <c r="AM6" s="1010">
        <f>'Cash Flow'!AM10</f>
        <v>2055</v>
      </c>
      <c r="AN6" s="1010">
        <f>'Cash Flow'!AN10</f>
        <v>2056</v>
      </c>
      <c r="AO6" s="1010">
        <f>'Cash Flow'!AO10</f>
        <v>2057</v>
      </c>
      <c r="AP6" s="1010">
        <f>'Cash Flow'!AP10</f>
        <v>2058</v>
      </c>
      <c r="AQ6" s="1010">
        <f>'Cash Flow'!AQ10</f>
        <v>2059</v>
      </c>
      <c r="AR6" s="1010">
        <f>'Cash Flow'!AR10</f>
        <v>2060</v>
      </c>
      <c r="AS6" s="1010">
        <f>'Cash Flow'!AS10</f>
        <v>2061</v>
      </c>
      <c r="AT6" s="1010">
        <f>'Cash Flow'!AT10</f>
        <v>2062</v>
      </c>
      <c r="AU6" s="1010">
        <f>'Cash Flow'!AU10</f>
        <v>2063</v>
      </c>
      <c r="AV6" s="1010">
        <f>'Cash Flow'!AV10</f>
        <v>2064</v>
      </c>
      <c r="AW6" s="1010">
        <f>'Cash Flow'!AW10</f>
        <v>2065</v>
      </c>
      <c r="AX6" s="1010">
        <f>'Cash Flow'!AX10</f>
        <v>2066</v>
      </c>
      <c r="AY6" s="1010">
        <f>'Cash Flow'!AY10</f>
        <v>2067</v>
      </c>
      <c r="AZ6" s="1010">
        <f>'Cash Flow'!AZ10</f>
        <v>2068</v>
      </c>
      <c r="BA6" s="1010">
        <f>'Cash Flow'!BA10</f>
        <v>2069</v>
      </c>
      <c r="BB6" s="1010">
        <f>'Cash Flow'!BB10</f>
        <v>2070</v>
      </c>
    </row>
    <row r="7" s="1058" customFormat="1" ht="17" customHeight="1">
      <c r="A7" s="1010"/>
      <c r="B7" s="1059"/>
      <c r="C7" t="s" s="1008">
        <f>'Cash Flow'!C11</f>
        <v>1004</v>
      </c>
      <c r="D7" t="s" s="1008">
        <f>'Cash Flow'!D11</f>
        <v>826</v>
      </c>
      <c r="E7" t="s" s="1008">
        <f>'Cash Flow'!E11</f>
        <v>1004</v>
      </c>
      <c r="F7" t="s" s="1008">
        <f>'Cash Flow'!F11</f>
        <v>1004</v>
      </c>
      <c r="G7" t="s" s="1008">
        <f>'Cash Flow'!G11</f>
        <v>1004</v>
      </c>
      <c r="H7" t="s" s="1008">
        <f>'Cash Flow'!H11</f>
        <v>1004</v>
      </c>
      <c r="I7" t="s" s="1008">
        <f>'Cash Flow'!I11</f>
        <v>1004</v>
      </c>
      <c r="J7" t="s" s="1008">
        <f>'Cash Flow'!J11</f>
        <v>1004</v>
      </c>
      <c r="K7" t="s" s="1008">
        <f>'Cash Flow'!K11</f>
        <v>1004</v>
      </c>
      <c r="L7" t="s" s="1008">
        <f>'Cash Flow'!L11</f>
        <v>1004</v>
      </c>
      <c r="M7" t="s" s="1008">
        <f>'Cash Flow'!M11</f>
        <v>1004</v>
      </c>
      <c r="N7" t="s" s="1008">
        <f>'Cash Flow'!N11</f>
        <v>1004</v>
      </c>
      <c r="O7" t="s" s="1008">
        <f>'Cash Flow'!O11</f>
        <v>1004</v>
      </c>
      <c r="P7" t="s" s="1008">
        <f>'Cash Flow'!P11</f>
        <v>1004</v>
      </c>
      <c r="Q7" t="s" s="1008">
        <f>'Cash Flow'!Q11</f>
        <v>1004</v>
      </c>
      <c r="R7" t="s" s="1008">
        <f>'Cash Flow'!R11</f>
        <v>1004</v>
      </c>
      <c r="S7" t="s" s="1008">
        <f>'Cash Flow'!S11</f>
        <v>1004</v>
      </c>
      <c r="T7" t="s" s="1008">
        <f>'Cash Flow'!T11</f>
        <v>1004</v>
      </c>
      <c r="U7" t="s" s="1008">
        <f>'Cash Flow'!U11</f>
        <v>1004</v>
      </c>
      <c r="V7" t="s" s="1008">
        <f>'Cash Flow'!V11</f>
        <v>1004</v>
      </c>
      <c r="W7" t="s" s="1008">
        <f>'Cash Flow'!W11</f>
        <v>1004</v>
      </c>
      <c r="X7" t="s" s="1008">
        <f>'Cash Flow'!X11</f>
        <v>1004</v>
      </c>
      <c r="Y7" t="s" s="1008">
        <f>'Cash Flow'!Y11</f>
        <v>1004</v>
      </c>
      <c r="Z7" t="s" s="1008">
        <f>'Cash Flow'!Z11</f>
        <v>1004</v>
      </c>
      <c r="AA7" t="s" s="1008">
        <f>'Cash Flow'!AA11</f>
        <v>1004</v>
      </c>
      <c r="AB7" t="s" s="1008">
        <f>'Cash Flow'!AB11</f>
        <v>1004</v>
      </c>
      <c r="AC7" t="s" s="1008">
        <f>'Cash Flow'!AC11</f>
        <v>1004</v>
      </c>
      <c r="AD7" t="s" s="1008">
        <f>'Cash Flow'!AD11</f>
        <v>1004</v>
      </c>
      <c r="AE7" t="s" s="1008">
        <f>'Cash Flow'!AE11</f>
        <v>1004</v>
      </c>
      <c r="AF7" t="s" s="1008">
        <f>'Cash Flow'!AF11</f>
        <v>1004</v>
      </c>
      <c r="AG7" t="s" s="1008">
        <f>'Cash Flow'!AG11</f>
        <v>1004</v>
      </c>
      <c r="AH7" t="s" s="1008">
        <f>'Cash Flow'!AH11</f>
        <v>1004</v>
      </c>
      <c r="AI7" t="s" s="1008">
        <f>'Cash Flow'!AI11</f>
        <v>1004</v>
      </c>
      <c r="AJ7" t="s" s="1008">
        <f>'Cash Flow'!AJ11</f>
        <v>1004</v>
      </c>
      <c r="AK7" t="s" s="1008">
        <f>'Cash Flow'!AK11</f>
        <v>1004</v>
      </c>
      <c r="AL7" t="s" s="1008">
        <f>'Cash Flow'!AL11</f>
        <v>1004</v>
      </c>
      <c r="AM7" t="s" s="1008">
        <f>'Cash Flow'!AM11</f>
        <v>1004</v>
      </c>
      <c r="AN7" t="s" s="1008">
        <f>'Cash Flow'!AN11</f>
        <v>1004</v>
      </c>
      <c r="AO7" t="s" s="1008">
        <f>'Cash Flow'!AO11</f>
        <v>1004</v>
      </c>
      <c r="AP7" t="s" s="1008">
        <f>'Cash Flow'!AP11</f>
        <v>1004</v>
      </c>
      <c r="AQ7" t="s" s="1008">
        <f>'Cash Flow'!AQ11</f>
        <v>1004</v>
      </c>
      <c r="AR7" t="s" s="1008">
        <f>'Cash Flow'!AR11</f>
        <v>1004</v>
      </c>
      <c r="AS7" t="s" s="1008">
        <f>'Cash Flow'!AS11</f>
        <v>1004</v>
      </c>
      <c r="AT7" t="s" s="1008">
        <f>'Cash Flow'!AT11</f>
        <v>1004</v>
      </c>
      <c r="AU7" t="s" s="1008">
        <f>'Cash Flow'!AU11</f>
        <v>1004</v>
      </c>
      <c r="AV7" t="s" s="1008">
        <f>'Cash Flow'!AV11</f>
        <v>1004</v>
      </c>
      <c r="AW7" t="s" s="1008">
        <f>'Cash Flow'!AW11</f>
        <v>1004</v>
      </c>
      <c r="AX7" t="s" s="1008">
        <f>'Cash Flow'!AX11</f>
        <v>1004</v>
      </c>
      <c r="AY7" t="s" s="1008">
        <f>'Cash Flow'!AY11</f>
        <v>1004</v>
      </c>
      <c r="AZ7" t="s" s="1008">
        <f>'Cash Flow'!AZ11</f>
        <v>1032</v>
      </c>
      <c r="BA7" t="s" s="1008">
        <f>'Cash Flow'!BA11</f>
        <v>1004</v>
      </c>
      <c r="BB7" t="s" s="1008">
        <f>'Cash Flow'!BB11</f>
        <v>1004</v>
      </c>
    </row>
    <row r="8" s="1060" customFormat="1" ht="17" customHeight="1">
      <c r="A8" s="1061"/>
      <c r="B8" s="1062"/>
      <c r="C8" s="1014">
        <f>'Cash Flow'!C12</f>
        <v>0</v>
      </c>
      <c r="D8" s="1014">
        <f>'Cash Flow'!D12</f>
        <v>0</v>
      </c>
      <c r="E8" s="1014">
        <f>'Cash Flow'!E12</f>
        <v>1</v>
      </c>
      <c r="F8" s="1014">
        <f>'Cash Flow'!F12</f>
        <v>2</v>
      </c>
      <c r="G8" s="1014">
        <f>'Cash Flow'!G12</f>
        <v>3</v>
      </c>
      <c r="H8" s="1014">
        <f>'Cash Flow'!H12</f>
        <v>4</v>
      </c>
      <c r="I8" s="1014">
        <f>'Cash Flow'!I12</f>
        <v>5</v>
      </c>
      <c r="J8" s="1014">
        <f>'Cash Flow'!J12</f>
        <v>6</v>
      </c>
      <c r="K8" s="1014">
        <f>'Cash Flow'!K12</f>
        <v>7</v>
      </c>
      <c r="L8" s="1014">
        <f>'Cash Flow'!L12</f>
        <v>8</v>
      </c>
      <c r="M8" s="1014">
        <f>'Cash Flow'!M12</f>
        <v>9</v>
      </c>
      <c r="N8" s="1014">
        <f>'Cash Flow'!N12</f>
        <v>10</v>
      </c>
      <c r="O8" s="1014">
        <f>'Cash Flow'!O12</f>
        <v>11</v>
      </c>
      <c r="P8" s="1014">
        <f>'Cash Flow'!P12</f>
        <v>12</v>
      </c>
      <c r="Q8" s="1014">
        <f>'Cash Flow'!Q12</f>
        <v>13</v>
      </c>
      <c r="R8" s="1014">
        <f>'Cash Flow'!R12</f>
        <v>14</v>
      </c>
      <c r="S8" s="1014">
        <f>'Cash Flow'!S12</f>
        <v>15</v>
      </c>
      <c r="T8" s="1014">
        <f>'Cash Flow'!T12</f>
        <v>16</v>
      </c>
      <c r="U8" s="1014">
        <f>'Cash Flow'!U12</f>
        <v>17</v>
      </c>
      <c r="V8" s="1014">
        <f>'Cash Flow'!V12</f>
        <v>18</v>
      </c>
      <c r="W8" s="1014">
        <f>'Cash Flow'!W12</f>
        <v>19</v>
      </c>
      <c r="X8" s="1014">
        <f>'Cash Flow'!X12</f>
        <v>20</v>
      </c>
      <c r="Y8" s="1014">
        <f>'Cash Flow'!Y12</f>
        <v>21</v>
      </c>
      <c r="Z8" s="1014">
        <f>'Cash Flow'!Z12</f>
        <v>22</v>
      </c>
      <c r="AA8" s="1014">
        <f>'Cash Flow'!AA12</f>
        <v>23</v>
      </c>
      <c r="AB8" s="1014">
        <f>'Cash Flow'!AB12</f>
        <v>24</v>
      </c>
      <c r="AC8" s="1014">
        <f>'Cash Flow'!AC12</f>
        <v>25</v>
      </c>
      <c r="AD8" s="1014">
        <f>'Cash Flow'!AD12</f>
        <v>26</v>
      </c>
      <c r="AE8" s="1014">
        <f>'Cash Flow'!AE12</f>
        <v>27</v>
      </c>
      <c r="AF8" s="1014">
        <f>'Cash Flow'!AF12</f>
        <v>28</v>
      </c>
      <c r="AG8" s="1014">
        <f>'Cash Flow'!AG12</f>
        <v>29</v>
      </c>
      <c r="AH8" s="1014">
        <f>'Cash Flow'!AH12</f>
        <v>30</v>
      </c>
      <c r="AI8" s="1014">
        <f>'Cash Flow'!AI12</f>
        <v>31</v>
      </c>
      <c r="AJ8" s="1014">
        <f>'Cash Flow'!AJ12</f>
        <v>32</v>
      </c>
      <c r="AK8" s="1014">
        <f>'Cash Flow'!AK12</f>
        <v>33</v>
      </c>
      <c r="AL8" s="1014">
        <f>'Cash Flow'!AL12</f>
        <v>34</v>
      </c>
      <c r="AM8" s="1014">
        <f>'Cash Flow'!AM12</f>
        <v>35</v>
      </c>
      <c r="AN8" s="1014">
        <f>'Cash Flow'!AN12</f>
        <v>36</v>
      </c>
      <c r="AO8" s="1014">
        <f>'Cash Flow'!AO12</f>
        <v>37</v>
      </c>
      <c r="AP8" s="1014">
        <f>'Cash Flow'!AP12</f>
        <v>38</v>
      </c>
      <c r="AQ8" s="1014">
        <f>'Cash Flow'!AQ12</f>
        <v>39</v>
      </c>
      <c r="AR8" s="1014">
        <f>'Cash Flow'!AR12</f>
        <v>40</v>
      </c>
      <c r="AS8" s="1014">
        <f>'Cash Flow'!AS12</f>
        <v>41</v>
      </c>
      <c r="AT8" s="1014">
        <f>'Cash Flow'!AT12</f>
        <v>42</v>
      </c>
      <c r="AU8" s="1014">
        <f>'Cash Flow'!AU12</f>
        <v>43</v>
      </c>
      <c r="AV8" s="1014">
        <f>'Cash Flow'!AV12</f>
        <v>44</v>
      </c>
      <c r="AW8" s="1014">
        <f>'Cash Flow'!AW12</f>
        <v>45</v>
      </c>
      <c r="AX8" s="1014">
        <f>'Cash Flow'!AX12</f>
        <v>46</v>
      </c>
      <c r="AY8" s="1014">
        <f>'Cash Flow'!AY12</f>
        <v>47</v>
      </c>
      <c r="AZ8" s="1014">
        <f>'Cash Flow'!AZ12</f>
        <v>48</v>
      </c>
      <c r="BA8" s="1014">
        <f>'Cash Flow'!BA12</f>
        <v>49</v>
      </c>
      <c r="BB8" s="1014">
        <f>'Cash Flow'!BB12</f>
        <v>50</v>
      </c>
    </row>
    <row r="9" s="1060" customFormat="1" ht="17" customHeight="1">
      <c r="A9" s="1063"/>
      <c r="B9" s="1064"/>
      <c r="C9" s="1064"/>
      <c r="D9" s="1063"/>
      <c r="E9" s="1065"/>
      <c r="F9" s="1065"/>
      <c r="G9" s="1065"/>
      <c r="H9" s="1065"/>
      <c r="I9" s="1065"/>
      <c r="J9" s="1065"/>
      <c r="K9" s="1065"/>
      <c r="L9" s="1065"/>
      <c r="M9" s="1065"/>
      <c r="N9" s="1065"/>
      <c r="O9" s="1065"/>
      <c r="P9" s="1065"/>
      <c r="Q9" s="1065"/>
      <c r="R9" s="1065"/>
      <c r="S9" s="1065"/>
      <c r="T9" s="1065"/>
      <c r="U9" s="1065"/>
      <c r="V9" s="1065"/>
      <c r="W9" s="1065"/>
      <c r="X9" s="1065"/>
      <c r="Y9" s="1065"/>
      <c r="Z9" s="1065"/>
      <c r="AA9" s="1065"/>
      <c r="AB9" s="1065"/>
      <c r="AC9" s="1065"/>
      <c r="AD9" s="1065"/>
      <c r="AE9" s="1065"/>
      <c r="AF9" s="1065"/>
      <c r="AG9" s="1065"/>
      <c r="AH9" s="1065"/>
      <c r="AI9" s="1065"/>
      <c r="AJ9" s="1065"/>
      <c r="AK9" s="1065"/>
      <c r="AL9" s="1065"/>
      <c r="AM9" s="1065"/>
      <c r="AN9" s="1065"/>
      <c r="AO9" s="1065"/>
      <c r="AP9" s="1065"/>
      <c r="AQ9" s="1065"/>
      <c r="AR9" s="1065"/>
      <c r="AS9" s="1065"/>
      <c r="AT9" s="1065"/>
      <c r="AU9" s="1065"/>
      <c r="AV9" s="1065"/>
      <c r="AW9" s="1065"/>
      <c r="AX9" s="1065"/>
      <c r="AY9" s="1065"/>
      <c r="AZ9" s="1065"/>
      <c r="BA9" s="1065"/>
      <c r="BB9" s="1065"/>
    </row>
    <row r="10" s="1060" customFormat="1" ht="17" customHeight="1">
      <c r="A10" t="s" s="1066">
        <v>1033</v>
      </c>
      <c r="B10" s="1067"/>
      <c r="C10" s="1067"/>
      <c r="D10" s="1068"/>
      <c r="E10" s="1069"/>
      <c r="F10" s="1069"/>
      <c r="G10" s="1069"/>
      <c r="H10" s="1069"/>
      <c r="I10" s="1069"/>
      <c r="J10" s="1069"/>
      <c r="K10" s="1069"/>
      <c r="L10" s="1069"/>
      <c r="M10" s="1069"/>
      <c r="N10" s="1069"/>
      <c r="O10" s="1069"/>
      <c r="P10" s="1069"/>
      <c r="Q10" s="1069"/>
      <c r="R10" s="1069"/>
      <c r="S10" s="1069"/>
      <c r="T10" s="1069"/>
      <c r="U10" s="1069"/>
      <c r="V10" s="1069"/>
      <c r="W10" s="1069"/>
      <c r="X10" s="1069"/>
      <c r="Y10" s="1069"/>
      <c r="Z10" s="1069"/>
      <c r="AA10" s="1069"/>
      <c r="AB10" s="1069"/>
      <c r="AC10" s="1069"/>
      <c r="AD10" s="1069"/>
      <c r="AE10" s="1069"/>
      <c r="AF10" s="1069"/>
      <c r="AG10" s="1069"/>
      <c r="AH10" s="1069"/>
      <c r="AI10" s="1069"/>
      <c r="AJ10" s="1069"/>
      <c r="AK10" s="1069"/>
      <c r="AL10" s="1069"/>
      <c r="AM10" s="1069"/>
      <c r="AN10" s="1069"/>
      <c r="AO10" s="1069"/>
      <c r="AP10" s="1069"/>
      <c r="AQ10" s="1069"/>
      <c r="AR10" s="1069"/>
      <c r="AS10" s="1069"/>
      <c r="AT10" s="1069"/>
      <c r="AU10" s="1069"/>
      <c r="AV10" s="1069"/>
      <c r="AW10" s="1069"/>
      <c r="AX10" s="1069"/>
      <c r="AY10" s="1069"/>
      <c r="AZ10" s="1069"/>
      <c r="BA10" s="1069"/>
      <c r="BB10" s="1069"/>
    </row>
    <row r="11" s="1060" customFormat="1" ht="14.25" customHeight="1">
      <c r="A11" t="s" s="1070">
        <v>1034</v>
      </c>
      <c r="B11" s="1067"/>
      <c r="C11" s="1019">
        <f>-'Cash Flow'!C30</f>
        <v>0</v>
      </c>
      <c r="D11" s="1019">
        <f>-'Cash Flow'!D30+C11</f>
        <v>1214718</v>
      </c>
      <c r="E11" s="1019">
        <f>-'Cash Flow'!E30+D11</f>
        <v>1439264</v>
      </c>
      <c r="F11" s="1019">
        <f>E11</f>
        <v>1439264</v>
      </c>
      <c r="G11" s="1019">
        <f>F11</f>
        <v>1439264</v>
      </c>
      <c r="H11" s="1019">
        <f>G11</f>
        <v>1439264</v>
      </c>
      <c r="I11" s="1019">
        <f>H11</f>
        <v>1439264</v>
      </c>
      <c r="J11" s="1019">
        <f>I11</f>
        <v>1439264</v>
      </c>
      <c r="K11" s="1019">
        <f>J11</f>
        <v>1439264</v>
      </c>
      <c r="L11" s="1019">
        <f>K11</f>
        <v>1439264</v>
      </c>
      <c r="M11" s="1019">
        <f>L11</f>
        <v>1439264</v>
      </c>
      <c r="N11" s="1019">
        <f>M11</f>
        <v>1439264</v>
      </c>
      <c r="O11" s="1019">
        <f>N11</f>
        <v>1439264</v>
      </c>
      <c r="P11" s="1019">
        <f>O11</f>
        <v>1439264</v>
      </c>
      <c r="Q11" s="1019">
        <f>P11</f>
        <v>1439264</v>
      </c>
      <c r="R11" s="1019">
        <f>Q11</f>
        <v>1439264</v>
      </c>
      <c r="S11" s="1019">
        <f>R11</f>
        <v>1439264</v>
      </c>
      <c r="T11" s="1019">
        <f>S11</f>
        <v>1439264</v>
      </c>
      <c r="U11" s="1019">
        <f>T11</f>
        <v>1439264</v>
      </c>
      <c r="V11" s="1019">
        <f>U11</f>
        <v>1439264</v>
      </c>
      <c r="W11" s="1019">
        <f>V11</f>
        <v>1439264</v>
      </c>
      <c r="X11" s="1019">
        <f>W11</f>
        <v>1439264</v>
      </c>
      <c r="Y11" s="1019">
        <f>X11</f>
        <v>1439264</v>
      </c>
      <c r="Z11" s="1019">
        <f>Y11</f>
        <v>1439264</v>
      </c>
      <c r="AA11" s="1019">
        <f>Z11</f>
        <v>1439264</v>
      </c>
      <c r="AB11" s="1019">
        <f>AA11</f>
        <v>1439264</v>
      </c>
      <c r="AC11" s="1019">
        <f>AB11</f>
        <v>1439264</v>
      </c>
      <c r="AD11" s="1019">
        <f>AC11</f>
        <v>1439264</v>
      </c>
      <c r="AE11" s="1019">
        <f>AD11</f>
        <v>1439264</v>
      </c>
      <c r="AF11" s="1019">
        <f>AE11</f>
        <v>1439264</v>
      </c>
      <c r="AG11" s="1019">
        <f>AF11</f>
        <v>1439264</v>
      </c>
      <c r="AH11" s="1019">
        <f>AG11</f>
        <v>1439264</v>
      </c>
      <c r="AI11" s="1019">
        <f>AH11</f>
        <v>1439264</v>
      </c>
      <c r="AJ11" s="1019">
        <f>AI11</f>
        <v>1439264</v>
      </c>
      <c r="AK11" s="1019">
        <f>AJ11</f>
        <v>1439264</v>
      </c>
      <c r="AL11" s="1019">
        <f>AK11</f>
        <v>1439264</v>
      </c>
      <c r="AM11" s="1019">
        <f>AL11</f>
        <v>1439264</v>
      </c>
      <c r="AN11" s="1019">
        <f>AM11</f>
        <v>1439264</v>
      </c>
      <c r="AO11" s="1019">
        <f>AN11</f>
        <v>1439264</v>
      </c>
      <c r="AP11" s="1019">
        <f>AO11</f>
        <v>1439264</v>
      </c>
      <c r="AQ11" s="1019">
        <f>AP11</f>
        <v>1439264</v>
      </c>
      <c r="AR11" s="1019">
        <f>AQ11</f>
        <v>1439264</v>
      </c>
      <c r="AS11" s="1019">
        <f>AR11</f>
        <v>1439264</v>
      </c>
      <c r="AT11" s="1019">
        <f>AS11</f>
        <v>1439264</v>
      </c>
      <c r="AU11" s="1019">
        <f>AT11</f>
        <v>1439264</v>
      </c>
      <c r="AV11" s="1019">
        <f>AU11</f>
        <v>1439264</v>
      </c>
      <c r="AW11" s="1019">
        <f>AV11</f>
        <v>1439264</v>
      </c>
      <c r="AX11" s="1019">
        <f>AW11</f>
        <v>1439264</v>
      </c>
      <c r="AY11" s="1019">
        <f>AX11</f>
        <v>1439264</v>
      </c>
      <c r="AZ11" s="1019">
        <f>AY11</f>
        <v>1439264</v>
      </c>
      <c r="BA11" s="1019">
        <f>AZ11</f>
        <v>1439264</v>
      </c>
      <c r="BB11" s="1019">
        <f>BA11</f>
        <v>1439264</v>
      </c>
    </row>
    <row r="12" s="1060" customFormat="1" ht="14.25" customHeight="1">
      <c r="A12" t="s" s="1070">
        <v>1035</v>
      </c>
      <c r="B12" s="1067"/>
      <c r="C12" s="1019">
        <f>-'Cash Flow'!C16</f>
        <v>0</v>
      </c>
      <c r="D12" s="1019">
        <f>-'Cash Flow'!D16+C12</f>
        <v>0</v>
      </c>
      <c r="E12" s="1019">
        <f>-'Cash Flow'!E16+D12</f>
        <v>0</v>
      </c>
      <c r="F12" s="1019">
        <f>E12</f>
        <v>0</v>
      </c>
      <c r="G12" s="1019">
        <f>F12</f>
        <v>0</v>
      </c>
      <c r="H12" s="1019">
        <f>G12</f>
        <v>0</v>
      </c>
      <c r="I12" s="1019">
        <f>H12</f>
        <v>0</v>
      </c>
      <c r="J12" s="1019">
        <f>I12</f>
        <v>0</v>
      </c>
      <c r="K12" s="1019">
        <f>J12</f>
        <v>0</v>
      </c>
      <c r="L12" s="1019">
        <f>K12</f>
        <v>0</v>
      </c>
      <c r="M12" s="1019">
        <f>L12</f>
        <v>0</v>
      </c>
      <c r="N12" s="1019">
        <f>M12</f>
        <v>0</v>
      </c>
      <c r="O12" s="1019">
        <f>N12</f>
        <v>0</v>
      </c>
      <c r="P12" s="1019">
        <f>O12</f>
        <v>0</v>
      </c>
      <c r="Q12" s="1019">
        <f>P12</f>
        <v>0</v>
      </c>
      <c r="R12" s="1019">
        <f>Q12</f>
        <v>0</v>
      </c>
      <c r="S12" s="1019">
        <f>R12</f>
        <v>0</v>
      </c>
      <c r="T12" s="1019">
        <f>S12</f>
        <v>0</v>
      </c>
      <c r="U12" s="1019">
        <f>T12</f>
        <v>0</v>
      </c>
      <c r="V12" s="1019">
        <f>U12</f>
        <v>0</v>
      </c>
      <c r="W12" s="1019">
        <f>V12</f>
        <v>0</v>
      </c>
      <c r="X12" s="1019">
        <f>W12</f>
        <v>0</v>
      </c>
      <c r="Y12" s="1019">
        <f>X12</f>
        <v>0</v>
      </c>
      <c r="Z12" s="1019">
        <f>Y12</f>
        <v>0</v>
      </c>
      <c r="AA12" s="1019">
        <f>Z12</f>
        <v>0</v>
      </c>
      <c r="AB12" s="1019">
        <f>AA12</f>
        <v>0</v>
      </c>
      <c r="AC12" s="1019">
        <f>AB12</f>
        <v>0</v>
      </c>
      <c r="AD12" s="1019">
        <f>AC12</f>
        <v>0</v>
      </c>
      <c r="AE12" s="1019">
        <f>AD12</f>
        <v>0</v>
      </c>
      <c r="AF12" s="1019">
        <f>AE12</f>
        <v>0</v>
      </c>
      <c r="AG12" s="1019">
        <f>AF12</f>
        <v>0</v>
      </c>
      <c r="AH12" s="1019">
        <f>AG12</f>
        <v>0</v>
      </c>
      <c r="AI12" s="1019">
        <f>AH12</f>
        <v>0</v>
      </c>
      <c r="AJ12" s="1019">
        <f>AI12</f>
        <v>0</v>
      </c>
      <c r="AK12" s="1019">
        <f>AJ12</f>
        <v>0</v>
      </c>
      <c r="AL12" s="1019">
        <f>AK12</f>
        <v>0</v>
      </c>
      <c r="AM12" s="1019">
        <f>AL12</f>
        <v>0</v>
      </c>
      <c r="AN12" s="1019">
        <f>AM12</f>
        <v>0</v>
      </c>
      <c r="AO12" s="1019">
        <f>AN12</f>
        <v>0</v>
      </c>
      <c r="AP12" s="1019">
        <f>AO12</f>
        <v>0</v>
      </c>
      <c r="AQ12" s="1019">
        <f>AP12</f>
        <v>0</v>
      </c>
      <c r="AR12" s="1019">
        <f>AQ12</f>
        <v>0</v>
      </c>
      <c r="AS12" s="1019">
        <f>AR12</f>
        <v>0</v>
      </c>
      <c r="AT12" s="1019">
        <f>AS12</f>
        <v>0</v>
      </c>
      <c r="AU12" s="1019">
        <f>AT12</f>
        <v>0</v>
      </c>
      <c r="AV12" s="1019">
        <f>AU12</f>
        <v>0</v>
      </c>
      <c r="AW12" s="1019">
        <f>AV12</f>
        <v>0</v>
      </c>
      <c r="AX12" s="1019">
        <f>AW12</f>
        <v>0</v>
      </c>
      <c r="AY12" s="1019">
        <f>AX12</f>
        <v>0</v>
      </c>
      <c r="AZ12" s="1019">
        <f>AY12</f>
        <v>0</v>
      </c>
      <c r="BA12" s="1019">
        <f>AZ12</f>
        <v>0</v>
      </c>
      <c r="BB12" s="1019">
        <f>BA12</f>
        <v>0</v>
      </c>
    </row>
    <row r="13" s="1060" customFormat="1" ht="14.25" customHeight="1">
      <c r="A13" t="s" s="1070">
        <v>1036</v>
      </c>
      <c r="B13" s="1067"/>
      <c r="C13" s="1019">
        <f>-'Cash Flow'!C17</f>
        <v>0</v>
      </c>
      <c r="D13" s="1019">
        <f>-'Cash Flow'!D17+C13</f>
        <v>-125000</v>
      </c>
      <c r="E13" s="1019">
        <f>-'Cash Flow'!E17+D13</f>
        <v>-125000</v>
      </c>
      <c r="F13" s="1019">
        <f>-'Cash Flow'!F17+E13</f>
        <v>-125000</v>
      </c>
      <c r="G13" s="1019">
        <f>F13</f>
        <v>-125000</v>
      </c>
      <c r="H13" s="1019">
        <f>G13</f>
        <v>-125000</v>
      </c>
      <c r="I13" s="1019">
        <f>H13</f>
        <v>-125000</v>
      </c>
      <c r="J13" s="1019">
        <f>I13</f>
        <v>-125000</v>
      </c>
      <c r="K13" s="1019">
        <f>J13</f>
        <v>-125000</v>
      </c>
      <c r="L13" s="1019">
        <f>K13</f>
        <v>-125000</v>
      </c>
      <c r="M13" s="1019">
        <f>L13</f>
        <v>-125000</v>
      </c>
      <c r="N13" s="1019">
        <f>M13</f>
        <v>-125000</v>
      </c>
      <c r="O13" s="1019">
        <f>N13</f>
        <v>-125000</v>
      </c>
      <c r="P13" s="1019">
        <f>O13</f>
        <v>-125000</v>
      </c>
      <c r="Q13" s="1019">
        <f>P13</f>
        <v>-125000</v>
      </c>
      <c r="R13" s="1019">
        <f>Q13</f>
        <v>-125000</v>
      </c>
      <c r="S13" s="1019">
        <f>R13</f>
        <v>-125000</v>
      </c>
      <c r="T13" s="1019">
        <f>S13</f>
        <v>-125000</v>
      </c>
      <c r="U13" s="1019">
        <f>T13</f>
        <v>-125000</v>
      </c>
      <c r="V13" s="1019">
        <f>U13</f>
        <v>-125000</v>
      </c>
      <c r="W13" s="1019">
        <f>V13</f>
        <v>-125000</v>
      </c>
      <c r="X13" s="1019">
        <f>W13</f>
        <v>-125000</v>
      </c>
      <c r="Y13" s="1019">
        <f>X13</f>
        <v>-125000</v>
      </c>
      <c r="Z13" s="1019">
        <f>Y13</f>
        <v>-125000</v>
      </c>
      <c r="AA13" s="1019">
        <f>Z13</f>
        <v>-125000</v>
      </c>
      <c r="AB13" s="1019">
        <f>AA13</f>
        <v>-125000</v>
      </c>
      <c r="AC13" s="1019">
        <f>AB13</f>
        <v>-125000</v>
      </c>
      <c r="AD13" s="1019">
        <f>AC13</f>
        <v>-125000</v>
      </c>
      <c r="AE13" s="1019">
        <f>AD13</f>
        <v>-125000</v>
      </c>
      <c r="AF13" s="1019">
        <f>AE13</f>
        <v>-125000</v>
      </c>
      <c r="AG13" s="1019">
        <f>AF13</f>
        <v>-125000</v>
      </c>
      <c r="AH13" s="1019">
        <f>AG13</f>
        <v>-125000</v>
      </c>
      <c r="AI13" s="1019">
        <f>AH13</f>
        <v>-125000</v>
      </c>
      <c r="AJ13" s="1019">
        <f>AI13</f>
        <v>-125000</v>
      </c>
      <c r="AK13" s="1019">
        <f>AJ13</f>
        <v>-125000</v>
      </c>
      <c r="AL13" s="1019">
        <f>AK13</f>
        <v>-125000</v>
      </c>
      <c r="AM13" s="1019">
        <f>AL13</f>
        <v>-125000</v>
      </c>
      <c r="AN13" s="1019">
        <f>AM13</f>
        <v>-125000</v>
      </c>
      <c r="AO13" s="1019">
        <f>AN13</f>
        <v>-125000</v>
      </c>
      <c r="AP13" s="1019">
        <f>AO13</f>
        <v>-125000</v>
      </c>
      <c r="AQ13" s="1019">
        <f>AP13</f>
        <v>-125000</v>
      </c>
      <c r="AR13" s="1019">
        <f>AQ13</f>
        <v>-125000</v>
      </c>
      <c r="AS13" s="1019">
        <f>AR13</f>
        <v>-125000</v>
      </c>
      <c r="AT13" s="1019">
        <f>AS13</f>
        <v>-125000</v>
      </c>
      <c r="AU13" s="1019">
        <f>AT13</f>
        <v>-125000</v>
      </c>
      <c r="AV13" s="1019">
        <f>AU13</f>
        <v>-125000</v>
      </c>
      <c r="AW13" s="1019">
        <f>AV13</f>
        <v>-125000</v>
      </c>
      <c r="AX13" s="1019">
        <f>AW13</f>
        <v>-125000</v>
      </c>
      <c r="AY13" s="1019">
        <f>AX13</f>
        <v>-125000</v>
      </c>
      <c r="AZ13" s="1019">
        <f>AY13</f>
        <v>-125000</v>
      </c>
      <c r="BA13" s="1019">
        <f>AZ13</f>
        <v>-125000</v>
      </c>
      <c r="BB13" s="1019">
        <f>BA13</f>
        <v>-125000</v>
      </c>
    </row>
    <row r="14" s="1060" customFormat="1" ht="14.25" customHeight="1">
      <c r="A14" t="s" s="1070">
        <v>1037</v>
      </c>
      <c r="B14" s="1067"/>
      <c r="C14" s="1019">
        <f>'I&amp;E'!C26+B14</f>
        <v>0</v>
      </c>
      <c r="D14" s="1019">
        <f>'I&amp;E'!D26+C14</f>
        <v>0</v>
      </c>
      <c r="E14" s="1019">
        <f>'I&amp;E'!E26+D14</f>
        <v>0</v>
      </c>
      <c r="F14" s="1019">
        <f>'I&amp;E'!F26+E14</f>
        <v>0</v>
      </c>
      <c r="G14" s="1019">
        <f>'I&amp;E'!G26+F14</f>
        <v>0</v>
      </c>
      <c r="H14" s="1019">
        <f>'I&amp;E'!H26+G14</f>
        <v>0</v>
      </c>
      <c r="I14" s="1019">
        <f>'I&amp;E'!I26+H14</f>
        <v>0</v>
      </c>
      <c r="J14" s="1019">
        <f>'I&amp;E'!J26+I14</f>
        <v>0</v>
      </c>
      <c r="K14" s="1019">
        <f>'I&amp;E'!K26+J14</f>
        <v>0</v>
      </c>
      <c r="L14" s="1019">
        <f>'I&amp;E'!L26+K14</f>
        <v>0</v>
      </c>
      <c r="M14" s="1019">
        <f>'I&amp;E'!M26+L14</f>
        <v>0</v>
      </c>
      <c r="N14" s="1019">
        <f>'I&amp;E'!N26+M14</f>
        <v>0</v>
      </c>
      <c r="O14" s="1019">
        <f>'I&amp;E'!O26+N14</f>
        <v>0</v>
      </c>
      <c r="P14" s="1019">
        <f>'I&amp;E'!P26+O14</f>
        <v>0</v>
      </c>
      <c r="Q14" s="1019">
        <f>'I&amp;E'!Q26+P14</f>
        <v>0</v>
      </c>
      <c r="R14" s="1019">
        <f>'I&amp;E'!R26+Q14</f>
        <v>0</v>
      </c>
      <c r="S14" s="1019">
        <f>'I&amp;E'!S26+R14</f>
        <v>0</v>
      </c>
      <c r="T14" s="1019">
        <f>'I&amp;E'!T26+S14</f>
        <v>0</v>
      </c>
      <c r="U14" s="1019">
        <f>'I&amp;E'!U26+T14</f>
        <v>0</v>
      </c>
      <c r="V14" s="1019">
        <f>'I&amp;E'!V26+U14</f>
        <v>0</v>
      </c>
      <c r="W14" s="1019">
        <f>'I&amp;E'!W26+V14</f>
        <v>0</v>
      </c>
      <c r="X14" s="1019">
        <f>'I&amp;E'!X26+W14</f>
        <v>0</v>
      </c>
      <c r="Y14" s="1019">
        <f>'I&amp;E'!Y26+X14</f>
        <v>0</v>
      </c>
      <c r="Z14" s="1019">
        <f>'I&amp;E'!Z26+Y14</f>
        <v>0</v>
      </c>
      <c r="AA14" s="1019">
        <f>'I&amp;E'!AA26+Z14</f>
        <v>0</v>
      </c>
      <c r="AB14" s="1019">
        <f>'I&amp;E'!AB26+AA14</f>
        <v>0</v>
      </c>
      <c r="AC14" s="1019">
        <f>'I&amp;E'!AC26+AB14</f>
        <v>0</v>
      </c>
      <c r="AD14" s="1019">
        <f>'I&amp;E'!AD26+AC14</f>
        <v>0</v>
      </c>
      <c r="AE14" s="1019">
        <f>'I&amp;E'!AE26+AD14</f>
        <v>0</v>
      </c>
      <c r="AF14" s="1019">
        <f>'I&amp;E'!AF26+AE14</f>
        <v>0</v>
      </c>
      <c r="AG14" s="1019">
        <f>'I&amp;E'!AG26+AF14</f>
        <v>0</v>
      </c>
      <c r="AH14" s="1019">
        <f>'I&amp;E'!AH26+AG14</f>
        <v>0</v>
      </c>
      <c r="AI14" s="1019">
        <f>'I&amp;E'!AI26+AH14</f>
        <v>0</v>
      </c>
      <c r="AJ14" s="1019">
        <f>'I&amp;E'!AJ26+AI14</f>
        <v>0</v>
      </c>
      <c r="AK14" s="1019">
        <f>'I&amp;E'!AK26+AJ14</f>
        <v>0</v>
      </c>
      <c r="AL14" s="1019">
        <f>'I&amp;E'!AL26+AK14</f>
        <v>0</v>
      </c>
      <c r="AM14" s="1019">
        <f>'I&amp;E'!AM26+AL14</f>
        <v>0</v>
      </c>
      <c r="AN14" s="1019">
        <f>'I&amp;E'!AN26+AM14</f>
        <v>0</v>
      </c>
      <c r="AO14" s="1019">
        <f>'I&amp;E'!AO26+AN14</f>
        <v>0</v>
      </c>
      <c r="AP14" s="1019">
        <f>'I&amp;E'!AP26+AO14</f>
        <v>0</v>
      </c>
      <c r="AQ14" s="1019">
        <f>'I&amp;E'!AQ26+AP14</f>
        <v>0</v>
      </c>
      <c r="AR14" s="1019">
        <f>'I&amp;E'!AR26+AQ14</f>
        <v>0</v>
      </c>
      <c r="AS14" s="1019">
        <f>'I&amp;E'!AS26+AR14</f>
        <v>0</v>
      </c>
      <c r="AT14" s="1019">
        <f>'I&amp;E'!AT26+AS14</f>
        <v>0</v>
      </c>
      <c r="AU14" s="1019">
        <f>'I&amp;E'!AU26+AT14</f>
        <v>0</v>
      </c>
      <c r="AV14" s="1019">
        <f>'I&amp;E'!AV26+AU14</f>
        <v>0</v>
      </c>
      <c r="AW14" s="1019">
        <f>'I&amp;E'!AW26+AV14</f>
        <v>0</v>
      </c>
      <c r="AX14" s="1019">
        <f>'I&amp;E'!AX26+AW14</f>
        <v>0</v>
      </c>
      <c r="AY14" s="1019">
        <f>'I&amp;E'!AY26+AX14</f>
        <v>0</v>
      </c>
      <c r="AZ14" s="1019">
        <f>'I&amp;E'!AZ26+AY14</f>
        <v>0</v>
      </c>
      <c r="BA14" s="1019">
        <f>'I&amp;E'!BA26+AZ14</f>
        <v>0</v>
      </c>
      <c r="BB14" s="1019">
        <f>'I&amp;E'!BB26+BA14</f>
        <v>0</v>
      </c>
    </row>
    <row r="15" s="1060" customFormat="1" ht="14.25" customHeight="1">
      <c r="A15" t="s" s="1070">
        <v>1038</v>
      </c>
      <c r="B15" s="1067"/>
      <c r="C15" s="1019">
        <f>'I&amp;E'!C30+B15</f>
        <v>0</v>
      </c>
      <c r="D15" s="1019">
        <f>'I&amp;E'!D30+C15</f>
        <v>0</v>
      </c>
      <c r="E15" s="1019">
        <f>'I&amp;E'!E30+D15</f>
        <v>0</v>
      </c>
      <c r="F15" s="1019">
        <f>'I&amp;E'!F30+E15</f>
        <v>0</v>
      </c>
      <c r="G15" s="1019">
        <f>'I&amp;E'!G30+F15</f>
        <v>0</v>
      </c>
      <c r="H15" s="1019">
        <f>'I&amp;E'!H30+G15</f>
        <v>0</v>
      </c>
      <c r="I15" s="1019">
        <f>'I&amp;E'!I30+H15</f>
        <v>0</v>
      </c>
      <c r="J15" s="1019">
        <f>'I&amp;E'!J30+I15</f>
        <v>0</v>
      </c>
      <c r="K15" s="1019">
        <f>'I&amp;E'!K30+J15</f>
        <v>0</v>
      </c>
      <c r="L15" s="1019">
        <f>'I&amp;E'!L30+K15</f>
        <v>0</v>
      </c>
      <c r="M15" s="1019">
        <f>'I&amp;E'!M30+L15</f>
        <v>0</v>
      </c>
      <c r="N15" s="1019">
        <f>'I&amp;E'!N30+M15</f>
        <v>0</v>
      </c>
      <c r="O15" s="1019">
        <f>'I&amp;E'!O30+N15</f>
        <v>0</v>
      </c>
      <c r="P15" s="1019">
        <f>'I&amp;E'!P30+O15</f>
        <v>0</v>
      </c>
      <c r="Q15" s="1019">
        <f>'I&amp;E'!Q30+P15</f>
        <v>0</v>
      </c>
      <c r="R15" s="1019">
        <f>'I&amp;E'!R30+Q15</f>
        <v>0</v>
      </c>
      <c r="S15" s="1019">
        <f>'I&amp;E'!S30+R15</f>
        <v>0</v>
      </c>
      <c r="T15" s="1019">
        <f>'I&amp;E'!T30+S15</f>
        <v>0</v>
      </c>
      <c r="U15" s="1019">
        <f>'I&amp;E'!U30+T15</f>
        <v>0</v>
      </c>
      <c r="V15" s="1019">
        <f>'I&amp;E'!V30+U15</f>
        <v>0</v>
      </c>
      <c r="W15" s="1019">
        <f>'I&amp;E'!W30+V15</f>
        <v>0</v>
      </c>
      <c r="X15" s="1019">
        <f>'I&amp;E'!X30+W15</f>
        <v>0</v>
      </c>
      <c r="Y15" s="1019">
        <f>'I&amp;E'!Y30+X15</f>
        <v>0</v>
      </c>
      <c r="Z15" s="1019">
        <f>'I&amp;E'!Z30+Y15</f>
        <v>0</v>
      </c>
      <c r="AA15" s="1019">
        <f>'I&amp;E'!AA30+Z15</f>
        <v>0</v>
      </c>
      <c r="AB15" s="1019">
        <f>'I&amp;E'!AB30+AA15</f>
        <v>0</v>
      </c>
      <c r="AC15" s="1019">
        <f>'I&amp;E'!AC30+AB15</f>
        <v>0</v>
      </c>
      <c r="AD15" s="1019">
        <f>'I&amp;E'!AD30+AC15</f>
        <v>0</v>
      </c>
      <c r="AE15" s="1019">
        <f>'I&amp;E'!AE30+AD15</f>
        <v>0</v>
      </c>
      <c r="AF15" s="1019">
        <f>'I&amp;E'!AF30+AE15</f>
        <v>0</v>
      </c>
      <c r="AG15" s="1019">
        <f>'I&amp;E'!AG30+AF15</f>
        <v>0</v>
      </c>
      <c r="AH15" s="1019">
        <f>'I&amp;E'!AH30+AG15</f>
        <v>0</v>
      </c>
      <c r="AI15" s="1019">
        <f>'I&amp;E'!AI30+AH15</f>
        <v>0</v>
      </c>
      <c r="AJ15" s="1019">
        <f>'I&amp;E'!AJ30+AI15</f>
        <v>0</v>
      </c>
      <c r="AK15" s="1019">
        <f>'I&amp;E'!AK30+AJ15</f>
        <v>0</v>
      </c>
      <c r="AL15" s="1019">
        <f>'I&amp;E'!AL30+AK15</f>
        <v>0</v>
      </c>
      <c r="AM15" s="1019">
        <f>'I&amp;E'!AM30+AL15</f>
        <v>0</v>
      </c>
      <c r="AN15" s="1019">
        <f>'I&amp;E'!AN30+AM15</f>
        <v>0</v>
      </c>
      <c r="AO15" s="1019">
        <f>'I&amp;E'!AO30+AN15</f>
        <v>0</v>
      </c>
      <c r="AP15" s="1019">
        <f>'I&amp;E'!AP30+AO15</f>
        <v>0</v>
      </c>
      <c r="AQ15" s="1019">
        <f>'I&amp;E'!AQ30+AP15</f>
        <v>0</v>
      </c>
      <c r="AR15" s="1019">
        <f>'I&amp;E'!AR30+AQ15</f>
        <v>0</v>
      </c>
      <c r="AS15" s="1019">
        <f>'I&amp;E'!AS30+AR15</f>
        <v>0</v>
      </c>
      <c r="AT15" s="1019">
        <f>'I&amp;E'!AT30+AS15</f>
        <v>0</v>
      </c>
      <c r="AU15" s="1019">
        <f>'I&amp;E'!AU30+AT15</f>
        <v>0</v>
      </c>
      <c r="AV15" s="1019">
        <f>'I&amp;E'!AV30+AU15</f>
        <v>0</v>
      </c>
      <c r="AW15" s="1019">
        <f>'I&amp;E'!AW30+AV15</f>
        <v>0</v>
      </c>
      <c r="AX15" s="1019">
        <f>'I&amp;E'!AX30+AW15</f>
        <v>0</v>
      </c>
      <c r="AY15" s="1019">
        <f>'I&amp;E'!AY30+AX15</f>
        <v>0</v>
      </c>
      <c r="AZ15" s="1019">
        <f>'I&amp;E'!AZ30+AY15</f>
        <v>0</v>
      </c>
      <c r="BA15" s="1019">
        <f>'I&amp;E'!BA30+AZ15</f>
        <v>0</v>
      </c>
      <c r="BB15" s="1019">
        <f>'I&amp;E'!BB30+BA15</f>
        <v>0</v>
      </c>
    </row>
    <row r="16" s="1060" customFormat="1" ht="14.25" customHeight="1">
      <c r="A16" t="s" s="1070">
        <v>1039</v>
      </c>
      <c r="B16" s="1067"/>
      <c r="C16" s="1019">
        <f>'I&amp;E'!C34</f>
        <v>0</v>
      </c>
      <c r="D16" s="1019">
        <f>'I&amp;E'!D34+C16</f>
        <v>0</v>
      </c>
      <c r="E16" s="1019">
        <f>'I&amp;E'!E34+D16</f>
        <v>-483890.5920258621</v>
      </c>
      <c r="F16" s="1019">
        <f>'I&amp;E'!F34+E16</f>
        <v>-483890.5920258621</v>
      </c>
      <c r="G16" s="1019">
        <f>'I&amp;E'!G34+F16</f>
        <v>-483890.5920258621</v>
      </c>
      <c r="H16" s="1019">
        <f>'I&amp;E'!H34+G16</f>
        <v>-483890.5920258621</v>
      </c>
      <c r="I16" s="1019">
        <f>'I&amp;E'!I34+H16</f>
        <v>-483890.5920258621</v>
      </c>
      <c r="J16" s="1019">
        <f>'I&amp;E'!J34+I16</f>
        <v>-483890.5920258621</v>
      </c>
      <c r="K16" s="1019">
        <f>'I&amp;E'!K34+J16</f>
        <v>-483890.5920258621</v>
      </c>
      <c r="L16" s="1019">
        <f>'I&amp;E'!L34+K16</f>
        <v>-483890.5920258621</v>
      </c>
      <c r="M16" s="1019">
        <f>'I&amp;E'!M34+L16</f>
        <v>-483890.5920258621</v>
      </c>
      <c r="N16" s="1019">
        <f>'I&amp;E'!N34+M16</f>
        <v>-483890.5920258621</v>
      </c>
      <c r="O16" s="1019">
        <f>'I&amp;E'!O34+N16</f>
        <v>-483890.5920258621</v>
      </c>
      <c r="P16" s="1019">
        <f>'I&amp;E'!P34+O16</f>
        <v>-483890.5920258621</v>
      </c>
      <c r="Q16" s="1019">
        <f>'I&amp;E'!Q34+P16</f>
        <v>-483890.5920258621</v>
      </c>
      <c r="R16" s="1019">
        <f>'I&amp;E'!R34+Q16</f>
        <v>-483890.5920258621</v>
      </c>
      <c r="S16" s="1019">
        <f>'I&amp;E'!S34+R16</f>
        <v>-483890.5920258621</v>
      </c>
      <c r="T16" s="1019">
        <f>'I&amp;E'!T34+S16</f>
        <v>-483890.5920258621</v>
      </c>
      <c r="U16" s="1019">
        <f>'I&amp;E'!U34+T16</f>
        <v>-483890.5920258621</v>
      </c>
      <c r="V16" s="1019">
        <f>'I&amp;E'!V34+U16</f>
        <v>-483890.5920258621</v>
      </c>
      <c r="W16" s="1019">
        <f>'I&amp;E'!W34+V16</f>
        <v>-483890.5920258621</v>
      </c>
      <c r="X16" s="1019">
        <f>'I&amp;E'!X34+W16</f>
        <v>-483890.5920258621</v>
      </c>
      <c r="Y16" s="1019">
        <f>'I&amp;E'!Y34+X16</f>
        <v>-483890.5920258621</v>
      </c>
      <c r="Z16" s="1019">
        <f>'I&amp;E'!Z34+Y16</f>
        <v>-483890.5920258621</v>
      </c>
      <c r="AA16" s="1019">
        <f>'I&amp;E'!AA34+Z16</f>
        <v>-483890.5920258621</v>
      </c>
      <c r="AB16" s="1019">
        <f>'I&amp;E'!AB34+AA16</f>
        <v>-483890.5920258621</v>
      </c>
      <c r="AC16" s="1019">
        <f>'I&amp;E'!AC34+AB16</f>
        <v>-483890.5920258621</v>
      </c>
      <c r="AD16" s="1019">
        <f>'I&amp;E'!AD34+AC16</f>
        <v>-483890.5920258621</v>
      </c>
      <c r="AE16" s="1019">
        <f>'I&amp;E'!AE34+AD16</f>
        <v>-483890.5920258621</v>
      </c>
      <c r="AF16" s="1019">
        <f>'I&amp;E'!AF34+AE16</f>
        <v>-483890.5920258621</v>
      </c>
      <c r="AG16" s="1019">
        <f>'I&amp;E'!AG34+AF16</f>
        <v>-483890.5920258621</v>
      </c>
      <c r="AH16" s="1019">
        <f>'I&amp;E'!AH34+AG16</f>
        <v>-483890.5920258621</v>
      </c>
      <c r="AI16" s="1019">
        <f>'I&amp;E'!AI34+AH16</f>
        <v>-483890.5920258621</v>
      </c>
      <c r="AJ16" s="1019">
        <f>'I&amp;E'!AJ34+AI16</f>
        <v>-483890.5920258621</v>
      </c>
      <c r="AK16" s="1019">
        <f>'I&amp;E'!AK34+AJ16</f>
        <v>-483890.5920258621</v>
      </c>
      <c r="AL16" s="1019">
        <f>'I&amp;E'!AL34+AK16</f>
        <v>-483890.5920258621</v>
      </c>
      <c r="AM16" s="1019">
        <f>'I&amp;E'!AM34+AL16</f>
        <v>-483890.5920258621</v>
      </c>
      <c r="AN16" s="1019">
        <f>'I&amp;E'!AN34+AM16</f>
        <v>-483890.5920258621</v>
      </c>
      <c r="AO16" s="1019">
        <f>'I&amp;E'!AO34+AN16</f>
        <v>-483890.5920258621</v>
      </c>
      <c r="AP16" s="1019">
        <f>'I&amp;E'!AP34+AO16</f>
        <v>-483890.5920258621</v>
      </c>
      <c r="AQ16" s="1019">
        <f>'I&amp;E'!AQ34+AP16</f>
        <v>-483890.5920258621</v>
      </c>
      <c r="AR16" s="1019">
        <f>'I&amp;E'!AR34+AQ16</f>
        <v>-483890.5920258621</v>
      </c>
      <c r="AS16" s="1019">
        <f>'I&amp;E'!AS34+AR16</f>
        <v>-483890.5920258621</v>
      </c>
      <c r="AT16" s="1019">
        <f>'I&amp;E'!AT34+AS16</f>
        <v>-483890.5920258621</v>
      </c>
      <c r="AU16" s="1019">
        <f>'I&amp;E'!AU34+AT16</f>
        <v>-483890.5920258621</v>
      </c>
      <c r="AV16" s="1019">
        <f>'I&amp;E'!AV34+AU16</f>
        <v>-483890.5920258621</v>
      </c>
      <c r="AW16" s="1019">
        <f>'I&amp;E'!AW34+AV16</f>
        <v>-483890.5920258621</v>
      </c>
      <c r="AX16" s="1019">
        <f>'I&amp;E'!AX34+AW16</f>
        <v>-483890.5920258621</v>
      </c>
      <c r="AY16" s="1019">
        <f>'I&amp;E'!AY34+AX16</f>
        <v>-483890.5920258621</v>
      </c>
      <c r="AZ16" s="1019">
        <f>'I&amp;E'!AZ34+AY16</f>
        <v>-483890.5920258621</v>
      </c>
      <c r="BA16" s="1019">
        <f>'I&amp;E'!BA34+AZ16</f>
        <v>-483890.5920258621</v>
      </c>
      <c r="BB16" s="1019">
        <f>'I&amp;E'!BB34+BA16</f>
        <v>-483890.5920258621</v>
      </c>
    </row>
    <row r="17" s="1060" customFormat="1" ht="14.25" customHeight="1">
      <c r="A17" s="1071"/>
      <c r="B17" s="1067"/>
      <c r="C17" s="1072"/>
      <c r="D17" s="1072"/>
      <c r="E17" s="1022"/>
      <c r="F17" s="1022"/>
      <c r="G17" s="1022"/>
      <c r="H17" s="1022"/>
      <c r="I17" s="1022"/>
      <c r="J17" s="1022"/>
      <c r="K17" s="1022"/>
      <c r="L17" s="1022"/>
      <c r="M17" s="1022"/>
      <c r="N17" s="1022"/>
      <c r="O17" s="1022"/>
      <c r="P17" s="1022"/>
      <c r="Q17" s="1022"/>
      <c r="R17" s="1022"/>
      <c r="S17" s="1022"/>
      <c r="T17" s="1022"/>
      <c r="U17" s="1022"/>
      <c r="V17" s="1022"/>
      <c r="W17" s="1022"/>
      <c r="X17" s="1022"/>
      <c r="Y17" s="1022"/>
      <c r="Z17" s="1022"/>
      <c r="AA17" s="1022"/>
      <c r="AB17" s="1022"/>
      <c r="AC17" s="1022"/>
      <c r="AD17" s="1022"/>
      <c r="AE17" s="1022"/>
      <c r="AF17" s="1022"/>
      <c r="AG17" s="1022"/>
      <c r="AH17" s="1022"/>
      <c r="AI17" s="1022"/>
      <c r="AJ17" s="1022"/>
      <c r="AK17" s="1022"/>
      <c r="AL17" s="1022"/>
      <c r="AM17" s="1022"/>
      <c r="AN17" s="1022"/>
      <c r="AO17" s="1022"/>
      <c r="AP17" s="1022"/>
      <c r="AQ17" s="1022"/>
      <c r="AR17" s="1022"/>
      <c r="AS17" s="1022"/>
      <c r="AT17" s="1022"/>
      <c r="AU17" s="1022"/>
      <c r="AV17" s="1022"/>
      <c r="AW17" s="1022"/>
      <c r="AX17" s="1022"/>
      <c r="AY17" s="1022"/>
      <c r="AZ17" s="1022"/>
      <c r="BA17" s="1022"/>
      <c r="BB17" s="1022"/>
    </row>
    <row r="18" s="1060" customFormat="1" ht="17" customHeight="1">
      <c r="A18" t="s" s="1066">
        <v>1040</v>
      </c>
      <c r="B18" s="1067"/>
      <c r="C18" s="1026">
        <f>SUM(C11:C17)</f>
        <v>0</v>
      </c>
      <c r="D18" s="1026">
        <f>SUM(D11:D17)</f>
        <v>1089718</v>
      </c>
      <c r="E18" s="1026">
        <f>SUM(E11:E17)</f>
        <v>830373.4079741379</v>
      </c>
      <c r="F18" s="1026">
        <f>SUM(F11:F17)</f>
        <v>830373.4079741379</v>
      </c>
      <c r="G18" s="1026">
        <f>SUM(G11:G17)</f>
        <v>830373.4079741379</v>
      </c>
      <c r="H18" s="1026">
        <f>SUM(H11:H17)</f>
        <v>830373.4079741379</v>
      </c>
      <c r="I18" s="1026">
        <f>SUM(I11:I17)</f>
        <v>830373.4079741379</v>
      </c>
      <c r="J18" s="1026">
        <f>SUM(J11:J17)</f>
        <v>830373.4079741379</v>
      </c>
      <c r="K18" s="1026">
        <f>SUM(K11:K17)</f>
        <v>830373.4079741379</v>
      </c>
      <c r="L18" s="1026">
        <f>SUM(L11:L17)</f>
        <v>830373.4079741379</v>
      </c>
      <c r="M18" s="1026">
        <f>SUM(M11:M17)</f>
        <v>830373.4079741379</v>
      </c>
      <c r="N18" s="1026">
        <f>SUM(N11:N17)</f>
        <v>830373.4079741379</v>
      </c>
      <c r="O18" s="1026">
        <f>SUM(O11:O17)</f>
        <v>830373.4079741379</v>
      </c>
      <c r="P18" s="1026">
        <f>SUM(P11:P17)</f>
        <v>830373.4079741379</v>
      </c>
      <c r="Q18" s="1026">
        <f>SUM(Q11:Q17)</f>
        <v>830373.4079741379</v>
      </c>
      <c r="R18" s="1026">
        <f>SUM(R11:R17)</f>
        <v>830373.4079741379</v>
      </c>
      <c r="S18" s="1026">
        <f>SUM(S11:S17)</f>
        <v>830373.4079741379</v>
      </c>
      <c r="T18" s="1026">
        <f>SUM(T11:T17)</f>
        <v>830373.4079741379</v>
      </c>
      <c r="U18" s="1026">
        <f>SUM(U11:U17)</f>
        <v>830373.4079741379</v>
      </c>
      <c r="V18" s="1026">
        <f>SUM(V11:V17)</f>
        <v>830373.4079741379</v>
      </c>
      <c r="W18" s="1026">
        <f>SUM(W11:W17)</f>
        <v>830373.4079741379</v>
      </c>
      <c r="X18" s="1026">
        <f>SUM(X11:X17)</f>
        <v>830373.4079741379</v>
      </c>
      <c r="Y18" s="1026">
        <f>SUM(Y11:Y17)</f>
        <v>830373.4079741379</v>
      </c>
      <c r="Z18" s="1026">
        <f>SUM(Z11:Z17)</f>
        <v>830373.4079741379</v>
      </c>
      <c r="AA18" s="1026">
        <f>SUM(AA11:AA17)</f>
        <v>830373.4079741379</v>
      </c>
      <c r="AB18" s="1026">
        <f>SUM(AB11:AB17)</f>
        <v>830373.4079741379</v>
      </c>
      <c r="AC18" s="1026">
        <f>SUM(AC11:AC17)</f>
        <v>830373.4079741379</v>
      </c>
      <c r="AD18" s="1026">
        <f>SUM(AD11:AD17)</f>
        <v>830373.4079741379</v>
      </c>
      <c r="AE18" s="1026">
        <f>SUM(AE11:AE17)</f>
        <v>830373.4079741379</v>
      </c>
      <c r="AF18" s="1026">
        <f>SUM(AF11:AF17)</f>
        <v>830373.4079741379</v>
      </c>
      <c r="AG18" s="1026">
        <f>SUM(AG11:AG17)</f>
        <v>830373.4079741379</v>
      </c>
      <c r="AH18" s="1026">
        <f>SUM(AH11:AH17)</f>
        <v>830373.4079741379</v>
      </c>
      <c r="AI18" s="1026">
        <f>SUM(AI11:AI17)</f>
        <v>830373.4079741379</v>
      </c>
      <c r="AJ18" s="1026">
        <f>SUM(AJ11:AJ17)</f>
        <v>830373.4079741379</v>
      </c>
      <c r="AK18" s="1026">
        <f>SUM(AK11:AK17)</f>
        <v>830373.4079741379</v>
      </c>
      <c r="AL18" s="1026">
        <f>SUM(AL11:AL17)</f>
        <v>830373.4079741379</v>
      </c>
      <c r="AM18" s="1026">
        <f>SUM(AM11:AM17)</f>
        <v>830373.4079741379</v>
      </c>
      <c r="AN18" s="1026">
        <f>SUM(AN11:AN17)</f>
        <v>830373.4079741379</v>
      </c>
      <c r="AO18" s="1026">
        <f>SUM(AO11:AO17)</f>
        <v>830373.4079741379</v>
      </c>
      <c r="AP18" s="1026">
        <f>SUM(AP11:AP17)</f>
        <v>830373.4079741379</v>
      </c>
      <c r="AQ18" s="1026">
        <f>SUM(AQ11:AQ17)</f>
        <v>830373.4079741379</v>
      </c>
      <c r="AR18" s="1026">
        <f>SUM(AR11:AR17)</f>
        <v>830373.4079741379</v>
      </c>
      <c r="AS18" s="1026">
        <f>SUM(AS11:AS17)</f>
        <v>830373.4079741379</v>
      </c>
      <c r="AT18" s="1026">
        <f>SUM(AT11:AT17)</f>
        <v>830373.4079741379</v>
      </c>
      <c r="AU18" s="1026">
        <f>SUM(AU11:AU17)</f>
        <v>830373.4079741379</v>
      </c>
      <c r="AV18" s="1026">
        <f>SUM(AV11:AV17)</f>
        <v>830373.4079741379</v>
      </c>
      <c r="AW18" s="1026">
        <f>SUM(AW11:AW17)</f>
        <v>830373.4079741379</v>
      </c>
      <c r="AX18" s="1026">
        <f>SUM(AX11:AX17)</f>
        <v>830373.4079741379</v>
      </c>
      <c r="AY18" s="1026">
        <f>SUM(AY11:AY17)</f>
        <v>830373.4079741379</v>
      </c>
      <c r="AZ18" s="1026">
        <f>SUM(AZ11:AZ17)</f>
        <v>830373.4079741379</v>
      </c>
      <c r="BA18" s="1026">
        <f>SUM(BA11:BA17)</f>
        <v>830373.4079741379</v>
      </c>
      <c r="BB18" s="1026">
        <f>SUM(BB11:BB17)</f>
        <v>830373.4079741379</v>
      </c>
    </row>
    <row r="19" s="1060" customFormat="1" ht="14.25" customHeight="1">
      <c r="A19" s="1071"/>
      <c r="B19" s="1067"/>
      <c r="C19" s="1073"/>
      <c r="D19" s="1073"/>
      <c r="E19" s="1019"/>
      <c r="F19" s="1019"/>
      <c r="G19" s="1019"/>
      <c r="H19" s="1019"/>
      <c r="I19" s="1019"/>
      <c r="J19" s="1019"/>
      <c r="K19" s="1019"/>
      <c r="L19" s="1019"/>
      <c r="M19" s="1019"/>
      <c r="N19" s="1019"/>
      <c r="O19" s="1019"/>
      <c r="P19" s="1019"/>
      <c r="Q19" s="1019"/>
      <c r="R19" s="1019"/>
      <c r="S19" s="1019"/>
      <c r="T19" s="1019"/>
      <c r="U19" s="1019"/>
      <c r="V19" s="1019"/>
      <c r="W19" s="1019"/>
      <c r="X19" s="1019"/>
      <c r="Y19" s="1019"/>
      <c r="Z19" s="1019"/>
      <c r="AA19" s="1019"/>
      <c r="AB19" s="1019"/>
      <c r="AC19" s="1019"/>
      <c r="AD19" s="1019"/>
      <c r="AE19" s="1019"/>
      <c r="AF19" s="1019"/>
      <c r="AG19" s="1019"/>
      <c r="AH19" s="1019"/>
      <c r="AI19" s="1019"/>
      <c r="AJ19" s="1019"/>
      <c r="AK19" s="1019"/>
      <c r="AL19" s="1019"/>
      <c r="AM19" s="1019"/>
      <c r="AN19" s="1019"/>
      <c r="AO19" s="1019"/>
      <c r="AP19" s="1019"/>
      <c r="AQ19" s="1019"/>
      <c r="AR19" s="1019"/>
      <c r="AS19" s="1019"/>
      <c r="AT19" s="1019"/>
      <c r="AU19" s="1019"/>
      <c r="AV19" s="1019"/>
      <c r="AW19" s="1019"/>
      <c r="AX19" s="1019"/>
      <c r="AY19" s="1019"/>
      <c r="AZ19" s="1019"/>
      <c r="BA19" s="1019"/>
      <c r="BB19" s="1019"/>
    </row>
    <row r="20" s="1060" customFormat="1" ht="17" customHeight="1">
      <c r="A20" t="s" s="1066">
        <v>1041</v>
      </c>
      <c r="B20" s="1067"/>
      <c r="C20" s="1073"/>
      <c r="D20" s="1073"/>
      <c r="E20" s="1019"/>
      <c r="F20" s="1019"/>
      <c r="G20" s="1019"/>
      <c r="H20" s="1019"/>
      <c r="I20" s="1019"/>
      <c r="J20" s="1019"/>
      <c r="K20" s="1019"/>
      <c r="L20" s="1019"/>
      <c r="M20" s="1019"/>
      <c r="N20" s="1019"/>
      <c r="O20" s="1019"/>
      <c r="P20" s="1019"/>
      <c r="Q20" s="1019"/>
      <c r="R20" s="1019"/>
      <c r="S20" s="1019"/>
      <c r="T20" s="1019"/>
      <c r="U20" s="1019"/>
      <c r="V20" s="1019"/>
      <c r="W20" s="1019"/>
      <c r="X20" s="1019"/>
      <c r="Y20" s="1019"/>
      <c r="Z20" s="1019"/>
      <c r="AA20" s="1019"/>
      <c r="AB20" s="1019"/>
      <c r="AC20" s="1019"/>
      <c r="AD20" s="1019"/>
      <c r="AE20" s="1019"/>
      <c r="AF20" s="1019"/>
      <c r="AG20" s="1019"/>
      <c r="AH20" s="1019"/>
      <c r="AI20" s="1019"/>
      <c r="AJ20" s="1019"/>
      <c r="AK20" s="1019"/>
      <c r="AL20" s="1019"/>
      <c r="AM20" s="1019"/>
      <c r="AN20" s="1019"/>
      <c r="AO20" s="1019"/>
      <c r="AP20" s="1019"/>
      <c r="AQ20" s="1019"/>
      <c r="AR20" s="1019"/>
      <c r="AS20" s="1019"/>
      <c r="AT20" s="1019"/>
      <c r="AU20" s="1019"/>
      <c r="AV20" s="1019"/>
      <c r="AW20" s="1019"/>
      <c r="AX20" s="1019"/>
      <c r="AY20" s="1019"/>
      <c r="AZ20" s="1019"/>
      <c r="BA20" s="1019"/>
      <c r="BB20" s="1019"/>
    </row>
    <row r="21" s="1060" customFormat="1" ht="14.25" customHeight="1">
      <c r="A21" t="s" s="1070">
        <v>1042</v>
      </c>
      <c r="B21" s="1067"/>
      <c r="C21" s="1019">
        <f>'Cash Flow'!C57</f>
        <v>0</v>
      </c>
      <c r="D21" s="1019">
        <f>'Cash Flow'!D57</f>
        <v>-1089718</v>
      </c>
      <c r="E21" s="1019">
        <f>'Cash Flow'!E57</f>
        <v>783.0059722221922</v>
      </c>
      <c r="F21" s="1019">
        <f>'Cash Flow'!F57</f>
        <v>8095.002502083298</v>
      </c>
      <c r="G21" s="1019">
        <f>'Cash Flow'!G57</f>
        <v>16457.254934593708</v>
      </c>
      <c r="H21" s="1019">
        <f>'Cash Flow'!H57</f>
        <v>23955.727336866672</v>
      </c>
      <c r="I21" s="1019">
        <f>'Cash Flow'!I57</f>
        <v>32567.913075179</v>
      </c>
      <c r="J21" s="1019">
        <f>'Cash Flow'!J57</f>
        <v>42332.328995431730</v>
      </c>
      <c r="K21" s="1019">
        <f>'Cash Flow'!K57</f>
        <v>52921.035674882034</v>
      </c>
      <c r="L21" s="1019">
        <f>'Cash Flow'!L57</f>
        <v>64739.288461501288</v>
      </c>
      <c r="M21" s="1019">
        <f>'Cash Flow'!M57</f>
        <v>77828.793813038486</v>
      </c>
      <c r="N21" s="1019">
        <f>'Cash Flow'!N57</f>
        <v>91743.991171347763</v>
      </c>
      <c r="O21" s="1019">
        <f>'Cash Flow'!O57</f>
        <v>107014.9109509134</v>
      </c>
      <c r="P21" s="1019">
        <f>'Cash Flow'!P57</f>
        <v>123685.8334568756</v>
      </c>
      <c r="Q21" s="1019">
        <f>'Cash Flow'!Q57</f>
        <v>141193.9707029414</v>
      </c>
      <c r="R21" s="1019">
        <f>'Cash Flow'!R57</f>
        <v>160194.534197951</v>
      </c>
      <c r="S21" s="1019">
        <f>'Cash Flow'!S57</f>
        <v>180736.8018150304</v>
      </c>
      <c r="T21" s="1019">
        <f>'Cash Flow'!T57</f>
        <v>202264.1400451779</v>
      </c>
      <c r="U21" s="1019">
        <f>'Cash Flow'!U57</f>
        <v>225434.0689510209</v>
      </c>
      <c r="V21" s="1019">
        <f>'Cash Flow'!V57</f>
        <v>250301.3313054741</v>
      </c>
      <c r="W21" s="1019">
        <f>'Cash Flow'!W57</f>
        <v>276068.0445786529</v>
      </c>
      <c r="X21" s="1019">
        <f>'Cash Flow'!X57</f>
        <v>303642.1820671973</v>
      </c>
      <c r="Y21" s="1019">
        <f>'Cash Flow'!Y57</f>
        <v>333081.4544116539</v>
      </c>
      <c r="Z21" s="1019">
        <f>'Cash Flow'!Z57</f>
        <v>363473.1887413563</v>
      </c>
      <c r="AA21" s="1019">
        <f>'Cash Flow'!AA57</f>
        <v>395851.0209000366</v>
      </c>
      <c r="AB21" s="1019">
        <f>'Cash Flow'!AB57</f>
        <v>430278.1812515595</v>
      </c>
      <c r="AC21" s="1019">
        <f>'Cash Flow'!AC57</f>
        <v>465724.7730291007</v>
      </c>
      <c r="AD21" s="1019">
        <f>'Cash Flow'!AD57</f>
        <v>503352.6761598806</v>
      </c>
      <c r="AE21" s="1019">
        <f>'Cash Flow'!AE57</f>
        <v>543232.2478774961</v>
      </c>
      <c r="AF21" s="1019">
        <f>'Cash Flow'!AF57</f>
        <v>583974.1231920165</v>
      </c>
      <c r="AG21" s="1019">
        <f>'Cash Flow'!AG57</f>
        <v>627109.729528726</v>
      </c>
      <c r="AH21" s="1019">
        <f>'Cash Flow'!AH57</f>
        <v>672592.2622833541</v>
      </c>
      <c r="AI21" s="1019">
        <f>'Cash Flow'!AI57</f>
        <v>709630.8724883398</v>
      </c>
      <c r="AJ21" s="1019">
        <f>'Cash Flow'!AJ57</f>
        <v>748660.5415361575</v>
      </c>
      <c r="AK21" s="1019">
        <f>'Cash Flow'!AK57</f>
        <v>789746.1625947756</v>
      </c>
      <c r="AL21" s="1019">
        <f>'Cash Flow'!AL57</f>
        <v>832953.0174842149</v>
      </c>
      <c r="AM21" s="1019">
        <f>'Cash Flow'!AM57</f>
        <v>878348.8456953953</v>
      </c>
      <c r="AN21" s="1019">
        <f>'Cash Flow'!AN57</f>
        <v>926003.9206163444</v>
      </c>
      <c r="AO21" s="1019">
        <f>'Cash Flow'!AO57</f>
        <v>975991.1280576725</v>
      </c>
      <c r="AP21" s="1019">
        <f>'Cash Flow'!AP57</f>
        <v>1028384.042146355</v>
      </c>
      <c r="AQ21" s="1019">
        <f>'Cash Flow'!AQ57</f>
        <v>1083261.008633932</v>
      </c>
      <c r="AR21" s="1019">
        <f>'Cash Flow'!AR57</f>
        <v>1140700.228217253</v>
      </c>
      <c r="AS21" s="1019">
        <f>'Cash Flow'!AS57</f>
        <v>1200782.837434694</v>
      </c>
      <c r="AT21" s="1019">
        <f>'Cash Flow'!AT57</f>
        <v>1263591.997190514</v>
      </c>
      <c r="AU21" s="1019">
        <f>'Cash Flow'!AU57</f>
        <v>1329215.989012172</v>
      </c>
      <c r="AV21" s="1019">
        <f>'Cash Flow'!AV57</f>
        <v>1397743.309148009</v>
      </c>
      <c r="AW21" s="1019">
        <f>'Cash Flow'!AW57</f>
        <v>1469264.758065249</v>
      </c>
      <c r="AX21" s="1019">
        <f>'Cash Flow'!AX57</f>
        <v>1543875.54289822</v>
      </c>
      <c r="AY21" s="1019">
        <f>'Cash Flow'!AY57</f>
        <v>1621672.380486636</v>
      </c>
      <c r="AZ21" s="1019">
        <f>'Cash Flow'!AZ57</f>
        <v>1702756.603584211</v>
      </c>
      <c r="BA21" s="1019">
        <f>'Cash Flow'!BA57</f>
        <v>1787232.272833128</v>
      </c>
      <c r="BB21" s="1019">
        <f>'Cash Flow'!BB57</f>
        <v>1875205.28461522</v>
      </c>
    </row>
    <row r="22" s="1032" customFormat="1" ht="17" customHeight="1">
      <c r="A22" s="1074"/>
      <c r="B22" s="1019"/>
      <c r="C22" s="1019"/>
      <c r="D22" s="1019"/>
      <c r="E22" s="1019"/>
      <c r="F22" s="1019"/>
      <c r="G22" s="1019"/>
      <c r="H22" s="1019"/>
      <c r="I22" s="1019"/>
      <c r="J22" s="1019"/>
      <c r="K22" s="1019"/>
      <c r="L22" s="1019"/>
      <c r="M22" s="1019"/>
      <c r="N22" s="1019"/>
      <c r="O22" s="1019"/>
      <c r="P22" s="1019"/>
      <c r="Q22" s="1019"/>
      <c r="R22" s="1019"/>
      <c r="S22" s="1019"/>
      <c r="T22" s="1019"/>
      <c r="U22" s="1019"/>
      <c r="V22" s="1019"/>
      <c r="W22" s="1019"/>
      <c r="X22" s="1019"/>
      <c r="Y22" s="1019"/>
      <c r="Z22" s="1019"/>
      <c r="AA22" s="1019"/>
      <c r="AB22" s="1019"/>
      <c r="AC22" s="1019"/>
      <c r="AD22" s="1019"/>
      <c r="AE22" s="1019"/>
      <c r="AF22" s="1019"/>
      <c r="AG22" s="1007"/>
      <c r="AH22" s="1007"/>
      <c r="AI22" s="1007"/>
      <c r="AJ22" s="1007"/>
      <c r="AK22" s="1007"/>
      <c r="AL22" s="1007"/>
      <c r="AM22" s="1007"/>
      <c r="AN22" s="1007"/>
      <c r="AO22" s="1007"/>
      <c r="AP22" s="1007"/>
      <c r="AQ22" s="1007"/>
      <c r="AR22" s="1007"/>
      <c r="AS22" s="1007"/>
      <c r="AT22" s="1007"/>
      <c r="AU22" s="1007"/>
      <c r="AV22" s="1007"/>
      <c r="AW22" s="1007"/>
      <c r="AX22" s="1007"/>
      <c r="AY22" s="1007"/>
      <c r="AZ22" s="1007"/>
      <c r="BA22" s="1007"/>
      <c r="BB22" s="1007"/>
    </row>
    <row r="23" s="1075" customFormat="1" ht="14.25" customHeight="1">
      <c r="A23" t="s" s="1076">
        <v>1043</v>
      </c>
      <c r="B23" s="1020"/>
      <c r="C23" s="1020">
        <v>0</v>
      </c>
      <c r="D23" s="1020">
        <v>0</v>
      </c>
      <c r="E23" s="1020">
        <f>-'Secured Funding'!E5</f>
        <v>-524264.325</v>
      </c>
      <c r="F23" s="1020">
        <f>E23</f>
        <v>-524264.325</v>
      </c>
      <c r="G23" s="1020">
        <f>F23</f>
        <v>-524264.325</v>
      </c>
      <c r="H23" s="1020">
        <f>G23</f>
        <v>-524264.325</v>
      </c>
      <c r="I23" s="1020">
        <f>H23</f>
        <v>-524264.325</v>
      </c>
      <c r="J23" s="1020">
        <f>I23</f>
        <v>-524264.325</v>
      </c>
      <c r="K23" s="1020">
        <f>J23</f>
        <v>-524264.325</v>
      </c>
      <c r="L23" s="1020">
        <f>K23</f>
        <v>-524264.325</v>
      </c>
      <c r="M23" s="1020">
        <f>L23</f>
        <v>-524264.325</v>
      </c>
      <c r="N23" s="1020">
        <f>M23</f>
        <v>-524264.325</v>
      </c>
      <c r="O23" s="1020">
        <f>N23</f>
        <v>-524264.325</v>
      </c>
      <c r="P23" s="1020">
        <f>O23</f>
        <v>-524264.325</v>
      </c>
      <c r="Q23" s="1020">
        <f>P23</f>
        <v>-524264.325</v>
      </c>
      <c r="R23" s="1020">
        <f>Q23</f>
        <v>-524264.325</v>
      </c>
      <c r="S23" s="1020">
        <f>R23</f>
        <v>-524264.325</v>
      </c>
      <c r="T23" s="1020">
        <f>S23</f>
        <v>-524264.325</v>
      </c>
      <c r="U23" s="1020">
        <f>T23</f>
        <v>-524264.325</v>
      </c>
      <c r="V23" s="1020">
        <f>U23</f>
        <v>-524264.325</v>
      </c>
      <c r="W23" s="1020">
        <f>V23</f>
        <v>-524264.325</v>
      </c>
      <c r="X23" s="1020">
        <f>W23</f>
        <v>-524264.325</v>
      </c>
      <c r="Y23" s="1020">
        <f>X23</f>
        <v>-524264.325</v>
      </c>
      <c r="Z23" s="1020">
        <f>Y23</f>
        <v>-524264.325</v>
      </c>
      <c r="AA23" s="1020">
        <f>Z23</f>
        <v>-524264.325</v>
      </c>
      <c r="AB23" s="1020">
        <f>AA23</f>
        <v>-524264.325</v>
      </c>
      <c r="AC23" s="1020">
        <f>AB23</f>
        <v>-524264.325</v>
      </c>
      <c r="AD23" s="1020">
        <f>AC23</f>
        <v>-524264.325</v>
      </c>
      <c r="AE23" s="1020">
        <f>AD23</f>
        <v>-524264.325</v>
      </c>
      <c r="AF23" s="1020">
        <f>AE23</f>
        <v>-524264.325</v>
      </c>
      <c r="AG23" s="1020">
        <f>AF23</f>
        <v>-524264.325</v>
      </c>
      <c r="AH23" s="1020">
        <f>AG23</f>
        <v>-524264.325</v>
      </c>
      <c r="AI23" s="1020">
        <f>AH23</f>
        <v>-524264.325</v>
      </c>
      <c r="AJ23" s="1020">
        <f>AI23</f>
        <v>-524264.325</v>
      </c>
      <c r="AK23" s="1020">
        <f>AJ23</f>
        <v>-524264.325</v>
      </c>
      <c r="AL23" s="1020">
        <f>AK23</f>
        <v>-524264.325</v>
      </c>
      <c r="AM23" s="1020">
        <f>AL23</f>
        <v>-524264.325</v>
      </c>
      <c r="AN23" s="1020">
        <f>AM23</f>
        <v>-524264.325</v>
      </c>
      <c r="AO23" s="1020">
        <f>AN23</f>
        <v>-524264.325</v>
      </c>
      <c r="AP23" s="1020">
        <f>AO23</f>
        <v>-524264.325</v>
      </c>
      <c r="AQ23" s="1020">
        <f>AP23</f>
        <v>-524264.325</v>
      </c>
      <c r="AR23" s="1020">
        <f>AQ23</f>
        <v>-524264.325</v>
      </c>
      <c r="AS23" s="1020">
        <f>AR23</f>
        <v>-524264.325</v>
      </c>
      <c r="AT23" s="1020">
        <f>AS23</f>
        <v>-524264.325</v>
      </c>
      <c r="AU23" s="1020">
        <f>AT23</f>
        <v>-524264.325</v>
      </c>
      <c r="AV23" s="1020">
        <f>AU23</f>
        <v>-524264.325</v>
      </c>
      <c r="AW23" s="1020">
        <f>AV23</f>
        <v>-524264.325</v>
      </c>
      <c r="AX23" s="1020">
        <f>AW23</f>
        <v>-524264.325</v>
      </c>
      <c r="AY23" s="1020">
        <f>AX23</f>
        <v>-524264.325</v>
      </c>
      <c r="AZ23" s="1020">
        <f>AY23</f>
        <v>-524264.325</v>
      </c>
      <c r="BA23" s="1020">
        <f>AZ23</f>
        <v>-524264.325</v>
      </c>
      <c r="BB23" s="1020">
        <f>BA23</f>
        <v>-524264.325</v>
      </c>
    </row>
    <row r="24" s="1075" customFormat="1" ht="14.25" customHeight="1">
      <c r="A24" t="s" s="1076">
        <v>1044</v>
      </c>
      <c r="B24" s="1020"/>
      <c r="C24" s="1020">
        <f>-'Cash Flow'!B43</f>
        <v>0</v>
      </c>
      <c r="D24" s="1020">
        <f>-'Cash Flow'!D43+C24</f>
        <v>0</v>
      </c>
      <c r="E24" s="1020">
        <f>-'Cash Flow'!E43+D24</f>
        <v>2937.010000000002</v>
      </c>
      <c r="F24" s="1020">
        <f>-'Cash Flow'!F43+E24</f>
        <v>6006.180000000004</v>
      </c>
      <c r="G24" s="1020">
        <f>-'Cash Flow'!G43+F24</f>
        <v>9213.460000000006</v>
      </c>
      <c r="H24" s="1020">
        <f>-'Cash Flow'!H43+G24</f>
        <v>12565.070000000007</v>
      </c>
      <c r="I24" s="1020">
        <f>-'Cash Flow'!I43+H24</f>
        <v>16067.500000000007</v>
      </c>
      <c r="J24" s="1020">
        <f>-'Cash Flow'!J43+I24</f>
        <v>19727.540000000008</v>
      </c>
      <c r="K24" s="1020">
        <f>-'Cash Flow'!K43+J24</f>
        <v>23552.280000000010</v>
      </c>
      <c r="L24" s="1020">
        <f>-'Cash Flow'!L43+K24</f>
        <v>27549.140000000010</v>
      </c>
      <c r="M24" s="1020">
        <f>-'Cash Flow'!M43+L24</f>
        <v>31725.860000000011</v>
      </c>
      <c r="N24" s="1020">
        <f>-'Cash Flow'!N43+M24</f>
        <v>36090.530000000013</v>
      </c>
      <c r="O24" s="1020">
        <f>-'Cash Flow'!O43+N24</f>
        <v>40651.610000000015</v>
      </c>
      <c r="P24" s="1020">
        <f>-'Cash Flow'!P43+O24</f>
        <v>45417.940000000017</v>
      </c>
      <c r="Q24" s="1020">
        <f>-'Cash Flow'!Q43+P24</f>
        <v>50398.750000000015</v>
      </c>
      <c r="R24" s="1020">
        <f>-'Cash Flow'!R43+Q24</f>
        <v>55603.700000000012</v>
      </c>
      <c r="S24" s="1020">
        <f>-'Cash Flow'!S43+R24</f>
        <v>61042.870000000010</v>
      </c>
      <c r="T24" s="1020">
        <f>-'Cash Flow'!T43+S24</f>
        <v>66726.800000000017</v>
      </c>
      <c r="U24" s="1020">
        <f>-'Cash Flow'!U43+T24</f>
        <v>72666.510000000024</v>
      </c>
      <c r="V24" s="1020">
        <f>-'Cash Flow'!V43+U24</f>
        <v>78873.510000000024</v>
      </c>
      <c r="W24" s="1020">
        <f>-'Cash Flow'!W43+V24</f>
        <v>85359.820000000022</v>
      </c>
      <c r="X24" s="1020">
        <f>-'Cash Flow'!X43+W24</f>
        <v>92138.020000000019</v>
      </c>
      <c r="Y24" s="1020">
        <f>-'Cash Flow'!Y43+X24</f>
        <v>99221.240000000020</v>
      </c>
      <c r="Z24" s="1020">
        <f>-'Cash Flow'!Z43+Y24</f>
        <v>106623.2</v>
      </c>
      <c r="AA24" s="1020">
        <f>-'Cash Flow'!AA43+Z24</f>
        <v>114358.25</v>
      </c>
      <c r="AB24" s="1020">
        <f>-'Cash Flow'!AB43+AA24</f>
        <v>122441.38</v>
      </c>
      <c r="AC24" s="1020">
        <f>-'Cash Flow'!AC43+AB24</f>
        <v>130888.25</v>
      </c>
      <c r="AD24" s="1020">
        <f>-'Cash Flow'!AD43+AC24</f>
        <v>139715.23</v>
      </c>
      <c r="AE24" s="1020">
        <f>-'Cash Flow'!AE43+AD24</f>
        <v>148939.42</v>
      </c>
      <c r="AF24" s="1020">
        <f>-'Cash Flow'!AF43+AE24</f>
        <v>158578.7</v>
      </c>
      <c r="AG24" s="1020">
        <f>-'Cash Flow'!AG43+AF24</f>
        <v>168651.7500000001</v>
      </c>
      <c r="AH24" s="1020">
        <f>-'Cash Flow'!AH43+AG24</f>
        <v>179178.0800000001</v>
      </c>
      <c r="AI24" s="1020">
        <f>-'Cash Flow'!AI43+AH24</f>
        <v>190178.1000000001</v>
      </c>
      <c r="AJ24" s="1020">
        <f>-'Cash Flow'!AJ43+AI24</f>
        <v>201673.1200000001</v>
      </c>
      <c r="AK24" s="1020">
        <f>-'Cash Flow'!AK43+AJ24</f>
        <v>213685.42</v>
      </c>
      <c r="AL24" s="1020">
        <f>-'Cash Flow'!AL43+AK24</f>
        <v>226238.27</v>
      </c>
      <c r="AM24" s="1020">
        <f>-'Cash Flow'!AM43+AL24</f>
        <v>239356.0000000001</v>
      </c>
      <c r="AN24" s="1020">
        <f>-'Cash Flow'!AN43+AM24</f>
        <v>253064.0300000001</v>
      </c>
      <c r="AO24" s="1020">
        <f>-'Cash Flow'!AO43+AN24</f>
        <v>267388.92</v>
      </c>
      <c r="AP24" s="1020">
        <f>-'Cash Flow'!AP43+AO24</f>
        <v>282358.4300000001</v>
      </c>
      <c r="AQ24" s="1020">
        <f>-'Cash Flow'!AQ43+AP24</f>
        <v>298001.5600000001</v>
      </c>
      <c r="AR24" s="1020">
        <f>-'Cash Flow'!AR43+AQ24</f>
        <v>314348.6400000001</v>
      </c>
      <c r="AS24" s="1020">
        <f>-'Cash Flow'!AS43+AR24</f>
        <v>331431.3300000001</v>
      </c>
      <c r="AT24" s="1020">
        <f>-'Cash Flow'!AT43+AS24</f>
        <v>349282.7500000001</v>
      </c>
      <c r="AU24" s="1020">
        <f>-'Cash Flow'!AU43+AT24</f>
        <v>367937.48</v>
      </c>
      <c r="AV24" s="1020">
        <f>-'Cash Flow'!AV43+AU24</f>
        <v>387431.67</v>
      </c>
      <c r="AW24" s="1020">
        <f>-'Cash Flow'!AW43+AV24</f>
        <v>407803.1</v>
      </c>
      <c r="AX24" s="1020">
        <f>-'Cash Flow'!AX43+AW24</f>
        <v>429091.24</v>
      </c>
      <c r="AY24" s="1020">
        <f>-'Cash Flow'!AY43+AX24</f>
        <v>451337.35</v>
      </c>
      <c r="AZ24" s="1020">
        <f>-'Cash Flow'!AZ43+AY24</f>
        <v>474584.54</v>
      </c>
      <c r="BA24" s="1020">
        <f>-'Cash Flow'!BA43+AZ24</f>
        <v>498877.85</v>
      </c>
      <c r="BB24" s="1020">
        <f>-'Cash Flow'!BB43+BA24</f>
        <v>524264.36</v>
      </c>
      <c r="BC24" s="1077"/>
      <c r="BD24" s="1078"/>
      <c r="BE24" s="1078"/>
      <c r="BF24" s="1078"/>
      <c r="BG24" s="1078"/>
      <c r="BH24" s="1078"/>
      <c r="BI24" s="1078"/>
      <c r="BJ24" s="1078"/>
      <c r="BK24" s="1078"/>
      <c r="BL24" s="1078"/>
      <c r="BM24" s="1078"/>
      <c r="BN24" s="1078"/>
      <c r="BO24" s="1078"/>
      <c r="BP24" s="1078"/>
      <c r="BQ24" s="1078"/>
      <c r="BR24" s="1078"/>
      <c r="BS24" s="1078"/>
      <c r="BT24" s="1078"/>
      <c r="BU24" s="1078"/>
      <c r="BV24" s="1078"/>
      <c r="BW24" s="1079"/>
    </row>
    <row r="25" s="1075" customFormat="1" ht="14.25" customHeight="1">
      <c r="A25" s="1080"/>
      <c r="B25" s="1020"/>
      <c r="C25" s="1020"/>
      <c r="D25" s="1020"/>
      <c r="E25" s="1020"/>
      <c r="F25" s="1020"/>
      <c r="G25" s="1020"/>
      <c r="H25" s="1020"/>
      <c r="I25" s="1020"/>
      <c r="J25" s="1020"/>
      <c r="K25" s="1020"/>
      <c r="L25" s="1020"/>
      <c r="M25" s="1020"/>
      <c r="N25" s="1020"/>
      <c r="O25" s="1020"/>
      <c r="P25" s="1020"/>
      <c r="Q25" s="1020"/>
      <c r="R25" s="1020"/>
      <c r="S25" s="1020"/>
      <c r="T25" s="1020"/>
      <c r="U25" s="1020"/>
      <c r="V25" s="1020"/>
      <c r="W25" s="1020"/>
      <c r="X25" s="1020"/>
      <c r="Y25" s="1020"/>
      <c r="Z25" s="1020"/>
      <c r="AA25" s="1020"/>
      <c r="AB25" s="1020"/>
      <c r="AC25" s="1020"/>
      <c r="AD25" s="1020"/>
      <c r="AE25" s="1020"/>
      <c r="AF25" s="1020"/>
      <c r="AG25" s="1020"/>
      <c r="AH25" s="1020"/>
      <c r="AI25" s="1020"/>
      <c r="AJ25" s="1020"/>
      <c r="AK25" s="1020"/>
      <c r="AL25" s="1020"/>
      <c r="AM25" s="1020"/>
      <c r="AN25" s="1020"/>
      <c r="AO25" s="1020"/>
      <c r="AP25" s="1020"/>
      <c r="AQ25" s="1020"/>
      <c r="AR25" s="1020"/>
      <c r="AS25" s="1020"/>
      <c r="AT25" s="1020"/>
      <c r="AU25" s="1020"/>
      <c r="AV25" s="1020"/>
      <c r="AW25" s="1020"/>
      <c r="AX25" s="1020"/>
      <c r="AY25" s="1020"/>
      <c r="AZ25" s="1020"/>
      <c r="BA25" s="1020"/>
      <c r="BB25" s="1020"/>
      <c r="BC25" s="1077"/>
      <c r="BD25" s="1078"/>
      <c r="BE25" s="1078"/>
      <c r="BF25" s="1078"/>
      <c r="BG25" s="1078"/>
      <c r="BH25" s="1078"/>
      <c r="BI25" s="1078"/>
      <c r="BJ25" s="1078"/>
      <c r="BK25" s="1078"/>
      <c r="BL25" s="1078"/>
      <c r="BM25" s="1078"/>
      <c r="BN25" s="1078"/>
      <c r="BO25" s="1078"/>
      <c r="BP25" s="1078"/>
      <c r="BQ25" s="1078"/>
      <c r="BR25" s="1078"/>
      <c r="BS25" s="1078"/>
      <c r="BT25" s="1078"/>
      <c r="BU25" s="1078"/>
      <c r="BV25" s="1078"/>
      <c r="BW25" s="1079"/>
    </row>
    <row r="26" s="1075" customFormat="1" ht="14.25" customHeight="1">
      <c r="A26" t="s" s="1076">
        <v>604</v>
      </c>
      <c r="B26" s="1020"/>
      <c r="C26" s="1020">
        <f>-'Cash Flow'!C18</f>
        <v>0</v>
      </c>
      <c r="D26" s="1020">
        <f>-'Cash Flow'!D18</f>
        <v>0</v>
      </c>
      <c r="E26" s="1020">
        <f>-'Cash Flow'!E18+D26</f>
        <v>0</v>
      </c>
      <c r="F26" s="1020">
        <f>E26</f>
        <v>0</v>
      </c>
      <c r="G26" s="1020">
        <f>F26</f>
        <v>0</v>
      </c>
      <c r="H26" s="1020">
        <f>G26</f>
        <v>0</v>
      </c>
      <c r="I26" s="1020">
        <f>H26</f>
        <v>0</v>
      </c>
      <c r="J26" s="1020">
        <f>I26</f>
        <v>0</v>
      </c>
      <c r="K26" s="1020">
        <f>J26</f>
        <v>0</v>
      </c>
      <c r="L26" s="1020">
        <f>K26</f>
        <v>0</v>
      </c>
      <c r="M26" s="1020">
        <f>L26</f>
        <v>0</v>
      </c>
      <c r="N26" s="1020">
        <f>M26</f>
        <v>0</v>
      </c>
      <c r="O26" s="1020">
        <f>N26</f>
        <v>0</v>
      </c>
      <c r="P26" s="1020">
        <f>O26</f>
        <v>0</v>
      </c>
      <c r="Q26" s="1020">
        <f>P26</f>
        <v>0</v>
      </c>
      <c r="R26" s="1020">
        <f>Q26</f>
        <v>0</v>
      </c>
      <c r="S26" s="1020">
        <f>R26</f>
        <v>0</v>
      </c>
      <c r="T26" s="1020">
        <f>S26</f>
        <v>0</v>
      </c>
      <c r="U26" s="1020">
        <f>T26</f>
        <v>0</v>
      </c>
      <c r="V26" s="1020">
        <f>U26</f>
        <v>0</v>
      </c>
      <c r="W26" s="1020">
        <f>V26</f>
        <v>0</v>
      </c>
      <c r="X26" s="1020">
        <f>W26</f>
        <v>0</v>
      </c>
      <c r="Y26" s="1020">
        <f>X26</f>
        <v>0</v>
      </c>
      <c r="Z26" s="1020">
        <f>Y26</f>
        <v>0</v>
      </c>
      <c r="AA26" s="1020">
        <f>Z26</f>
        <v>0</v>
      </c>
      <c r="AB26" s="1020">
        <f>AA26</f>
        <v>0</v>
      </c>
      <c r="AC26" s="1020">
        <f>AB26</f>
        <v>0</v>
      </c>
      <c r="AD26" s="1020">
        <f>AC26</f>
        <v>0</v>
      </c>
      <c r="AE26" s="1020">
        <f>AD26</f>
        <v>0</v>
      </c>
      <c r="AF26" s="1020">
        <f>AE26</f>
        <v>0</v>
      </c>
      <c r="AG26" s="1020">
        <f>AF26</f>
        <v>0</v>
      </c>
      <c r="AH26" s="1020">
        <f>AG26</f>
        <v>0</v>
      </c>
      <c r="AI26" s="1020">
        <f>AH26</f>
        <v>0</v>
      </c>
      <c r="AJ26" s="1020">
        <f>AI26</f>
        <v>0</v>
      </c>
      <c r="AK26" s="1020">
        <f>AJ26</f>
        <v>0</v>
      </c>
      <c r="AL26" s="1020">
        <f>AK26</f>
        <v>0</v>
      </c>
      <c r="AM26" s="1020">
        <f>AL26</f>
        <v>0</v>
      </c>
      <c r="AN26" s="1020">
        <f>AM26</f>
        <v>0</v>
      </c>
      <c r="AO26" s="1020">
        <f>AN26</f>
        <v>0</v>
      </c>
      <c r="AP26" s="1020">
        <f>AO26</f>
        <v>0</v>
      </c>
      <c r="AQ26" s="1020">
        <f>AP26</f>
        <v>0</v>
      </c>
      <c r="AR26" s="1020">
        <f>AQ26</f>
        <v>0</v>
      </c>
      <c r="AS26" s="1020">
        <f>AR26</f>
        <v>0</v>
      </c>
      <c r="AT26" s="1020">
        <f>AS26</f>
        <v>0</v>
      </c>
      <c r="AU26" s="1020">
        <f>AT26</f>
        <v>0</v>
      </c>
      <c r="AV26" s="1020">
        <f>AU26</f>
        <v>0</v>
      </c>
      <c r="AW26" s="1020">
        <f>AV26</f>
        <v>0</v>
      </c>
      <c r="AX26" s="1020">
        <f>AW26</f>
        <v>0</v>
      </c>
      <c r="AY26" s="1020">
        <f>AX26</f>
        <v>0</v>
      </c>
      <c r="AZ26" s="1020">
        <f>AY26</f>
        <v>0</v>
      </c>
      <c r="BA26" s="1020">
        <f>AZ26</f>
        <v>0</v>
      </c>
      <c r="BB26" s="1020">
        <f>BA26</f>
        <v>0</v>
      </c>
      <c r="BC26" s="1077"/>
      <c r="BD26" s="1078"/>
      <c r="BE26" s="1078"/>
      <c r="BF26" s="1078"/>
      <c r="BG26" s="1078"/>
      <c r="BH26" s="1078"/>
      <c r="BI26" s="1078"/>
      <c r="BJ26" s="1078"/>
      <c r="BK26" s="1078"/>
      <c r="BL26" s="1078"/>
      <c r="BM26" s="1078"/>
      <c r="BN26" s="1078"/>
      <c r="BO26" s="1078"/>
      <c r="BP26" s="1078"/>
      <c r="BQ26" s="1078"/>
      <c r="BR26" s="1078"/>
      <c r="BS26" s="1078"/>
      <c r="BT26" s="1078"/>
      <c r="BU26" s="1078"/>
      <c r="BV26" s="1078"/>
      <c r="BW26" s="1079"/>
    </row>
    <row r="27" s="1075" customFormat="1" ht="14.25" customHeight="1">
      <c r="A27" t="s" s="1076">
        <v>1045</v>
      </c>
      <c r="B27" s="1020"/>
      <c r="C27" s="1020"/>
      <c r="D27" s="1020"/>
      <c r="E27" s="1020">
        <f>-'Community Bond'!C13+D27</f>
        <v>0</v>
      </c>
      <c r="F27" s="1020">
        <f>-'Community Bond'!D13+E27</f>
        <v>0</v>
      </c>
      <c r="G27" s="1020">
        <f>-'Community Bond'!E13+F27</f>
        <v>0</v>
      </c>
      <c r="H27" s="1020">
        <f>-'Community Bond'!F13+G27</f>
        <v>0</v>
      </c>
      <c r="I27" s="1020">
        <f>-'Community Bond'!G13+H27</f>
        <v>0</v>
      </c>
      <c r="J27" s="1020">
        <f>-'Community Bond'!H13+I27</f>
        <v>0</v>
      </c>
      <c r="K27" s="1020">
        <f>-'Community Bond'!I13+J27</f>
        <v>0</v>
      </c>
      <c r="L27" s="1020">
        <f>-'Community Bond'!J13+K27</f>
        <v>0</v>
      </c>
      <c r="M27" s="1020">
        <f>-'Community Bond'!K13+L27</f>
        <v>0</v>
      </c>
      <c r="N27" s="1020">
        <f>-'Community Bond'!L13+M27</f>
        <v>0</v>
      </c>
      <c r="O27" s="1020">
        <f>-'Community Bond'!M13+N27</f>
        <v>0</v>
      </c>
      <c r="P27" s="1020">
        <f>-'Community Bond'!N13+O27</f>
        <v>0</v>
      </c>
      <c r="Q27" s="1020">
        <f>-'Community Bond'!O13+P27</f>
        <v>0</v>
      </c>
      <c r="R27" s="1020">
        <f>-'Community Bond'!P13+Q27</f>
        <v>0</v>
      </c>
      <c r="S27" s="1020">
        <f>-'Community Bond'!Q13+R27</f>
        <v>0</v>
      </c>
      <c r="T27" s="1020">
        <f>-'Community Bond'!R13+S27</f>
        <v>0</v>
      </c>
      <c r="U27" s="1020">
        <f>-'Community Bond'!S13+T27</f>
        <v>0</v>
      </c>
      <c r="V27" s="1020">
        <f>-'Community Bond'!T13+U27</f>
        <v>0</v>
      </c>
      <c r="W27" s="1020">
        <f>-'Community Bond'!U13+V27</f>
        <v>0</v>
      </c>
      <c r="X27" s="1020">
        <f>-'Community Bond'!V13+W27</f>
        <v>0</v>
      </c>
      <c r="Y27" s="1020">
        <f>-'Community Bond'!W13+X27</f>
        <v>0</v>
      </c>
      <c r="Z27" s="1020">
        <f>-'Community Bond'!X13+Y27</f>
        <v>0</v>
      </c>
      <c r="AA27" s="1020">
        <f>-'Community Bond'!Y13+Z27</f>
        <v>0</v>
      </c>
      <c r="AB27" s="1020">
        <f>-'Community Bond'!Z13+AA27</f>
        <v>0</v>
      </c>
      <c r="AC27" s="1020">
        <f>-'Community Bond'!AA13+AB27</f>
        <v>0</v>
      </c>
      <c r="AD27" s="1020">
        <f>-'Community Bond'!AB13+AC27</f>
        <v>0</v>
      </c>
      <c r="AE27" s="1020">
        <f>-'Community Bond'!AC13+AD27</f>
        <v>0</v>
      </c>
      <c r="AF27" s="1020">
        <f>-'Community Bond'!AD13+AE27</f>
        <v>0</v>
      </c>
      <c r="AG27" s="1020">
        <f>-'Community Bond'!AE13+AF27</f>
        <v>0</v>
      </c>
      <c r="AH27" s="1020">
        <f>-'Community Bond'!AF13+AG27</f>
        <v>0</v>
      </c>
      <c r="AI27" s="1020">
        <f>-'Community Bond'!AG13+AH27</f>
        <v>0</v>
      </c>
      <c r="AJ27" s="1020">
        <f>-'Community Bond'!AH13+AI27</f>
        <v>0</v>
      </c>
      <c r="AK27" s="1020">
        <f>-'Community Bond'!AI13+AJ27</f>
        <v>0</v>
      </c>
      <c r="AL27" s="1020">
        <f>-'Community Bond'!AJ13+AK27</f>
        <v>0</v>
      </c>
      <c r="AM27" s="1020">
        <f>-'Community Bond'!AK13+AL27</f>
        <v>0</v>
      </c>
      <c r="AN27" s="1020">
        <f>-'Community Bond'!AL13+AM27</f>
        <v>0</v>
      </c>
      <c r="AO27" s="1020">
        <f>-'Community Bond'!AM13+AN27</f>
        <v>0</v>
      </c>
      <c r="AP27" s="1020">
        <f>-'Community Bond'!AN13+AO27</f>
        <v>0</v>
      </c>
      <c r="AQ27" s="1020">
        <f>-'Community Bond'!AO13+AP27</f>
        <v>0</v>
      </c>
      <c r="AR27" s="1020">
        <f>-'Community Bond'!AP13+AQ27</f>
        <v>0</v>
      </c>
      <c r="AS27" s="1020">
        <f>-'Community Bond'!AQ13+AR27</f>
        <v>0</v>
      </c>
      <c r="AT27" s="1020">
        <f>-'Community Bond'!AR13+AS27</f>
        <v>0</v>
      </c>
      <c r="AU27" s="1020">
        <f>-'Community Bond'!AS13+AT27</f>
        <v>0</v>
      </c>
      <c r="AV27" s="1020">
        <f>-'Community Bond'!AT13+AU27</f>
        <v>0</v>
      </c>
      <c r="AW27" s="1020">
        <f>-'Community Bond'!AU13+AV27</f>
        <v>0</v>
      </c>
      <c r="AX27" s="1020">
        <f>-'Community Bond'!AV13+AW27</f>
        <v>0</v>
      </c>
      <c r="AY27" s="1020">
        <f>-'Community Bond'!AW13+AX27</f>
        <v>0</v>
      </c>
      <c r="AZ27" s="1020">
        <f>-'Community Bond'!AX13+AY27</f>
        <v>0</v>
      </c>
      <c r="BA27" s="1020">
        <f>-'Community Bond'!AY13+AZ27</f>
        <v>0</v>
      </c>
      <c r="BB27" s="1020">
        <f>-'Community Bond'!AZ13+BA27</f>
        <v>0</v>
      </c>
      <c r="BC27" s="1077"/>
      <c r="BD27" s="1078"/>
      <c r="BE27" s="1078"/>
      <c r="BF27" s="1078"/>
      <c r="BG27" s="1078"/>
      <c r="BH27" s="1078"/>
      <c r="BI27" s="1078"/>
      <c r="BJ27" s="1078"/>
      <c r="BK27" s="1078"/>
      <c r="BL27" s="1078"/>
      <c r="BM27" s="1078"/>
      <c r="BN27" s="1078"/>
      <c r="BO27" s="1078"/>
      <c r="BP27" s="1078"/>
      <c r="BQ27" s="1078"/>
      <c r="BR27" s="1078"/>
      <c r="BS27" s="1078"/>
      <c r="BT27" s="1078"/>
      <c r="BU27" s="1078"/>
      <c r="BV27" s="1078"/>
      <c r="BW27" s="1079"/>
    </row>
    <row r="28" s="1075" customFormat="1" ht="14.25" customHeight="1">
      <c r="A28" t="s" s="1076">
        <v>1044</v>
      </c>
      <c r="B28" s="1020"/>
      <c r="C28" s="1020"/>
      <c r="D28" s="1020"/>
      <c r="E28" s="1020">
        <f>-'Cash Flow'!E47+D28</f>
        <v>0</v>
      </c>
      <c r="F28" s="1020">
        <f>-'Cash Flow'!F47+E28</f>
        <v>0</v>
      </c>
      <c r="G28" s="1020">
        <f>-'Cash Flow'!G47+F28</f>
        <v>0</v>
      </c>
      <c r="H28" s="1020">
        <f>-'Cash Flow'!H47+G28</f>
        <v>0</v>
      </c>
      <c r="I28" s="1020">
        <f>-'Cash Flow'!I47+H28</f>
        <v>0</v>
      </c>
      <c r="J28" s="1020">
        <f>-'Cash Flow'!J47+I28</f>
        <v>0</v>
      </c>
      <c r="K28" s="1020">
        <f>-'Cash Flow'!K47+J28</f>
        <v>0</v>
      </c>
      <c r="L28" s="1020">
        <f>-'Cash Flow'!L47+K28</f>
        <v>0</v>
      </c>
      <c r="M28" s="1020">
        <f>-'Cash Flow'!M47+L28</f>
        <v>0</v>
      </c>
      <c r="N28" s="1020">
        <f>-'Cash Flow'!N47+M28</f>
        <v>0</v>
      </c>
      <c r="O28" s="1020">
        <f>-'Cash Flow'!O47+N28</f>
        <v>0</v>
      </c>
      <c r="P28" s="1020">
        <f>-'Cash Flow'!P47+O28</f>
        <v>0</v>
      </c>
      <c r="Q28" s="1020">
        <f>-'Cash Flow'!Q47+P28</f>
        <v>0</v>
      </c>
      <c r="R28" s="1020">
        <f>-'Cash Flow'!R47+Q28</f>
        <v>0</v>
      </c>
      <c r="S28" s="1020">
        <f>-'Cash Flow'!S47+R28</f>
        <v>0</v>
      </c>
      <c r="T28" s="1020">
        <f>-'Cash Flow'!T47+S28</f>
        <v>0</v>
      </c>
      <c r="U28" s="1020">
        <f>-'Cash Flow'!U47+T28</f>
        <v>0</v>
      </c>
      <c r="V28" s="1020">
        <f>-'Cash Flow'!V47+U28</f>
        <v>0</v>
      </c>
      <c r="W28" s="1020">
        <f>-'Cash Flow'!W47+V28</f>
        <v>0</v>
      </c>
      <c r="X28" s="1020">
        <f>-'Cash Flow'!X47+W28</f>
        <v>0</v>
      </c>
      <c r="Y28" s="1020">
        <f>-'Cash Flow'!Y47+X28</f>
        <v>0</v>
      </c>
      <c r="Z28" s="1020">
        <f>-'Cash Flow'!Z47+Y28</f>
        <v>0</v>
      </c>
      <c r="AA28" s="1020">
        <f>-'Cash Flow'!AA47+Z28</f>
        <v>0</v>
      </c>
      <c r="AB28" s="1020">
        <f>-'Cash Flow'!AB47+AA28</f>
        <v>0</v>
      </c>
      <c r="AC28" s="1020">
        <f>-'Cash Flow'!AC47+AB28</f>
        <v>0</v>
      </c>
      <c r="AD28" s="1020">
        <f>-'Cash Flow'!AD47+AC28</f>
        <v>0</v>
      </c>
      <c r="AE28" s="1020">
        <f>-'Cash Flow'!AE47+AD28</f>
        <v>0</v>
      </c>
      <c r="AF28" s="1020">
        <f>-'Cash Flow'!AF47+AE28</f>
        <v>0</v>
      </c>
      <c r="AG28" s="1020">
        <f>-'Cash Flow'!AG47+AF28</f>
        <v>0</v>
      </c>
      <c r="AH28" s="1020">
        <f>-'Cash Flow'!AH47+AG28</f>
        <v>0</v>
      </c>
      <c r="AI28" s="1020">
        <f>-'Cash Flow'!AI47+AH28</f>
        <v>0</v>
      </c>
      <c r="AJ28" s="1020">
        <f>-'Cash Flow'!AJ47+AI28</f>
        <v>0</v>
      </c>
      <c r="AK28" s="1020">
        <f>-'Cash Flow'!AK47+AJ28</f>
        <v>0</v>
      </c>
      <c r="AL28" s="1020">
        <f>-'Cash Flow'!AL47+AK28</f>
        <v>0</v>
      </c>
      <c r="AM28" s="1020">
        <f>-'Cash Flow'!AM47+AL28</f>
        <v>0</v>
      </c>
      <c r="AN28" s="1020">
        <f>-'Cash Flow'!AN47+AM28</f>
        <v>0</v>
      </c>
      <c r="AO28" s="1020">
        <f>-'Cash Flow'!AO47+AN28</f>
        <v>0</v>
      </c>
      <c r="AP28" s="1020">
        <f>-'Cash Flow'!AP47+AO28</f>
        <v>0</v>
      </c>
      <c r="AQ28" s="1020">
        <f>-'Cash Flow'!AQ47+AP28</f>
        <v>0</v>
      </c>
      <c r="AR28" s="1020">
        <f>-'Cash Flow'!AR47+AQ28</f>
        <v>0</v>
      </c>
      <c r="AS28" s="1020">
        <f>-'Cash Flow'!AS47+AR28</f>
        <v>0</v>
      </c>
      <c r="AT28" s="1020">
        <f>-'Cash Flow'!AT47+AS28</f>
        <v>0</v>
      </c>
      <c r="AU28" s="1020">
        <f>-'Cash Flow'!AU47+AT28</f>
        <v>0</v>
      </c>
      <c r="AV28" s="1020">
        <f>-'Cash Flow'!AV47+AU28</f>
        <v>0</v>
      </c>
      <c r="AW28" s="1020">
        <f>-'Cash Flow'!AW47+AV28</f>
        <v>0</v>
      </c>
      <c r="AX28" s="1020">
        <f>-'Cash Flow'!AX47+AW28</f>
        <v>0</v>
      </c>
      <c r="AY28" s="1020">
        <f>-'Cash Flow'!AY47+AX28</f>
        <v>0</v>
      </c>
      <c r="AZ28" s="1020">
        <f>-'Cash Flow'!AZ47+AY28</f>
        <v>0</v>
      </c>
      <c r="BA28" s="1020">
        <f>-'Cash Flow'!BA47+AZ28</f>
        <v>0</v>
      </c>
      <c r="BB28" s="1020">
        <f>-'Cash Flow'!BB47+BA28</f>
        <v>0</v>
      </c>
      <c r="BC28" s="1077"/>
      <c r="BD28" s="1078"/>
      <c r="BE28" s="1078"/>
      <c r="BF28" s="1078"/>
      <c r="BG28" s="1078"/>
      <c r="BH28" s="1078"/>
      <c r="BI28" s="1078"/>
      <c r="BJ28" s="1078"/>
      <c r="BK28" s="1078"/>
      <c r="BL28" s="1078"/>
      <c r="BM28" s="1078"/>
      <c r="BN28" s="1078"/>
      <c r="BO28" s="1078"/>
      <c r="BP28" s="1078"/>
      <c r="BQ28" s="1078"/>
      <c r="BR28" s="1078"/>
      <c r="BS28" s="1078"/>
      <c r="BT28" s="1078"/>
      <c r="BU28" s="1078"/>
      <c r="BV28" s="1078"/>
      <c r="BW28" s="1079"/>
    </row>
    <row r="29" s="1075" customFormat="1" ht="17" customHeight="1">
      <c r="A29" t="s" s="1081">
        <v>1046</v>
      </c>
      <c r="B29" s="1020"/>
      <c r="C29" s="1020">
        <f>SUM(C23:C28)</f>
        <v>0</v>
      </c>
      <c r="D29" s="1020">
        <f>SUM(D23:D28)</f>
        <v>0</v>
      </c>
      <c r="E29" s="1020">
        <f>SUM(E23:E28)</f>
        <v>-521327.3149999999</v>
      </c>
      <c r="F29" s="1020">
        <f>SUM(F23:F28)</f>
        <v>-518258.145</v>
      </c>
      <c r="G29" s="1020">
        <f>SUM(G23:G28)</f>
        <v>-515050.8649999999</v>
      </c>
      <c r="H29" s="1020">
        <f>SUM(H23:H28)</f>
        <v>-511699.2549999999</v>
      </c>
      <c r="I29" s="1020">
        <f>SUM(I23:I28)</f>
        <v>-508196.825</v>
      </c>
      <c r="J29" s="1020">
        <f>SUM(J23:J28)</f>
        <v>-504536.7849999999</v>
      </c>
      <c r="K29" s="1020">
        <f>SUM(K23:K28)</f>
        <v>-500712.0449999999</v>
      </c>
      <c r="L29" s="1020">
        <f>SUM(L23:L28)</f>
        <v>-496715.1849999999</v>
      </c>
      <c r="M29" s="1020">
        <f>SUM(M23:M28)</f>
        <v>-492538.465</v>
      </c>
      <c r="N29" s="1020">
        <f>SUM(N23:N28)</f>
        <v>-488173.7949999999</v>
      </c>
      <c r="O29" s="1020">
        <f>SUM(O23:O28)</f>
        <v>-483612.715</v>
      </c>
      <c r="P29" s="1020">
        <f>SUM(P23:P28)</f>
        <v>-478846.385</v>
      </c>
      <c r="Q29" s="1020">
        <f>SUM(Q23:Q28)</f>
        <v>-473865.575</v>
      </c>
      <c r="R29" s="1020">
        <f>SUM(R23:R28)</f>
        <v>-468660.6249999999</v>
      </c>
      <c r="S29" s="1020">
        <f>SUM(S23:S28)</f>
        <v>-463221.455</v>
      </c>
      <c r="T29" s="1020">
        <f>SUM(T23:T28)</f>
        <v>-457537.5249999999</v>
      </c>
      <c r="U29" s="1020">
        <f>SUM(U23:U28)</f>
        <v>-451597.8149999999</v>
      </c>
      <c r="V29" s="1020">
        <f>SUM(V23:V28)</f>
        <v>-445390.8149999999</v>
      </c>
      <c r="W29" s="1020">
        <f>SUM(W23:W28)</f>
        <v>-438904.5049999999</v>
      </c>
      <c r="X29" s="1020">
        <f>SUM(X23:X28)</f>
        <v>-432126.3049999999</v>
      </c>
      <c r="Y29" s="1020">
        <f>SUM(Y23:Y28)</f>
        <v>-425043.085</v>
      </c>
      <c r="Z29" s="1020">
        <f>SUM(Z23:Z28)</f>
        <v>-417641.1249999999</v>
      </c>
      <c r="AA29" s="1020">
        <f>SUM(AA23:AA28)</f>
        <v>-409906.075</v>
      </c>
      <c r="AB29" s="1020">
        <f>SUM(AB23:AB28)</f>
        <v>-401822.9449999999</v>
      </c>
      <c r="AC29" s="1020">
        <f>SUM(AC23:AC28)</f>
        <v>-393376.075</v>
      </c>
      <c r="AD29" s="1020">
        <f>SUM(AD23:AD28)</f>
        <v>-384549.0949999999</v>
      </c>
      <c r="AE29" s="1020">
        <f>SUM(AE23:AE28)</f>
        <v>-375324.9049999999</v>
      </c>
      <c r="AF29" s="1020">
        <f>SUM(AF23:AF28)</f>
        <v>-365685.6249999999</v>
      </c>
      <c r="AG29" s="1020">
        <f>SUM(AG23:AG28)</f>
        <v>-355612.5749999999</v>
      </c>
      <c r="AH29" s="1020">
        <f>SUM(AH23:AH28)</f>
        <v>-345086.2449999999</v>
      </c>
      <c r="AI29" s="1020">
        <f>SUM(AI23:AI28)</f>
        <v>-334086.2249999999</v>
      </c>
      <c r="AJ29" s="1020">
        <f>SUM(AJ23:AJ28)</f>
        <v>-322591.2049999999</v>
      </c>
      <c r="AK29" s="1020">
        <f>SUM(AK23:AK28)</f>
        <v>-310578.9049999999</v>
      </c>
      <c r="AL29" s="1020">
        <f>SUM(AL23:AL28)</f>
        <v>-298026.0549999999</v>
      </c>
      <c r="AM29" s="1020">
        <f>SUM(AM23:AM28)</f>
        <v>-284908.3249999999</v>
      </c>
      <c r="AN29" s="1020">
        <f>SUM(AN23:AN28)</f>
        <v>-271200.2949999999</v>
      </c>
      <c r="AO29" s="1020">
        <f>SUM(AO23:AO28)</f>
        <v>-256875.4049999999</v>
      </c>
      <c r="AP29" s="1020">
        <f>SUM(AP23:AP28)</f>
        <v>-241905.8949999999</v>
      </c>
      <c r="AQ29" s="1020">
        <f>SUM(AQ23:AQ28)</f>
        <v>-226262.7649999999</v>
      </c>
      <c r="AR29" s="1020">
        <f>SUM(AR23:AR28)</f>
        <v>-209915.6849999999</v>
      </c>
      <c r="AS29" s="1020">
        <f>SUM(AS23:AS28)</f>
        <v>-192832.9949999999</v>
      </c>
      <c r="AT29" s="1020">
        <f>SUM(AT23:AT28)</f>
        <v>-174981.5749999999</v>
      </c>
      <c r="AU29" s="1020">
        <f>SUM(AU23:AU28)</f>
        <v>-156326.8449999999</v>
      </c>
      <c r="AV29" s="1020">
        <f>SUM(AV23:AV28)</f>
        <v>-136832.6549999999</v>
      </c>
      <c r="AW29" s="1020">
        <f>SUM(AW23:AW28)</f>
        <v>-116461.2249999999</v>
      </c>
      <c r="AX29" s="1020">
        <f>SUM(AX23:AX28)</f>
        <v>-95173.0849999999</v>
      </c>
      <c r="AY29" s="1020">
        <f>SUM(AY23:AY28)</f>
        <v>-72926.974999999919</v>
      </c>
      <c r="AZ29" s="1020">
        <f>SUM(AZ23:AZ28)</f>
        <v>-49679.784999999916</v>
      </c>
      <c r="BA29" s="1020">
        <f>SUM(BA23:BA28)</f>
        <v>-25386.474999999919</v>
      </c>
      <c r="BB29" s="1020">
        <f>SUM(BB23:BB28)</f>
        <v>0.03500000009080395</v>
      </c>
      <c r="BC29" s="1077"/>
      <c r="BD29" s="1078"/>
      <c r="BE29" s="1078"/>
      <c r="BF29" s="1078"/>
      <c r="BG29" s="1078"/>
      <c r="BH29" s="1078"/>
      <c r="BI29" s="1078"/>
      <c r="BJ29" s="1078"/>
      <c r="BK29" s="1078"/>
      <c r="BL29" s="1078"/>
      <c r="BM29" s="1078"/>
      <c r="BN29" s="1078"/>
      <c r="BO29" s="1078"/>
      <c r="BP29" s="1078"/>
      <c r="BQ29" s="1078"/>
      <c r="BR29" s="1078"/>
      <c r="BS29" s="1078"/>
      <c r="BT29" s="1078"/>
      <c r="BU29" s="1078"/>
      <c r="BV29" s="1078"/>
      <c r="BW29" s="1079"/>
    </row>
    <row r="30" s="978" customFormat="1" ht="19" customHeight="1">
      <c r="A30" s="907"/>
      <c r="B30" s="907"/>
      <c r="C30" s="1082"/>
      <c r="D30" s="1082"/>
      <c r="E30" s="910"/>
      <c r="F30" s="910"/>
      <c r="G30" s="910"/>
      <c r="H30" s="910"/>
      <c r="I30" s="910"/>
      <c r="J30" s="910"/>
      <c r="K30" s="910"/>
      <c r="L30" s="910"/>
      <c r="M30" s="910"/>
      <c r="N30" s="910"/>
      <c r="O30" s="910"/>
      <c r="P30" s="910"/>
      <c r="Q30" s="910"/>
      <c r="R30" s="910"/>
      <c r="S30" s="910"/>
      <c r="T30" s="910"/>
      <c r="U30" s="910"/>
      <c r="V30" s="910"/>
      <c r="W30" s="910"/>
      <c r="X30" s="910"/>
      <c r="Y30" s="910"/>
      <c r="Z30" s="910"/>
      <c r="AA30" s="910"/>
      <c r="AB30" s="910"/>
      <c r="AC30" s="910"/>
      <c r="AD30" s="910"/>
      <c r="AE30" s="910"/>
      <c r="AF30" s="910"/>
      <c r="AG30" s="910"/>
      <c r="AH30" s="910"/>
      <c r="AI30" s="910"/>
      <c r="AJ30" s="910"/>
      <c r="AK30" s="910"/>
      <c r="AL30" s="910"/>
      <c r="AM30" s="910"/>
      <c r="AN30" s="910"/>
      <c r="AO30" s="910"/>
      <c r="AP30" s="910"/>
      <c r="AQ30" s="910"/>
      <c r="AR30" s="910"/>
      <c r="AS30" s="910"/>
      <c r="AT30" s="910"/>
      <c r="AU30" s="910"/>
      <c r="AV30" s="910"/>
      <c r="AW30" s="910"/>
      <c r="AX30" s="910"/>
      <c r="AY30" s="910"/>
      <c r="AZ30" s="910"/>
      <c r="BA30" s="910"/>
      <c r="BB30" s="910"/>
      <c r="BC30" s="584"/>
      <c r="BD30" s="101"/>
      <c r="BE30" s="101"/>
      <c r="BF30" s="101"/>
      <c r="BG30" s="101"/>
      <c r="BH30" s="101"/>
      <c r="BI30" s="101"/>
      <c r="BJ30" s="101"/>
      <c r="BK30" s="101"/>
      <c r="BL30" s="101"/>
      <c r="BM30" s="101"/>
      <c r="BN30" s="101"/>
      <c r="BO30" s="101"/>
      <c r="BP30" s="101"/>
      <c r="BQ30" s="101"/>
      <c r="BR30" s="101"/>
      <c r="BS30" s="101"/>
      <c r="BT30" s="101"/>
      <c r="BU30" s="101"/>
      <c r="BV30" s="101"/>
      <c r="BW30" s="1083"/>
    </row>
    <row r="31" s="1011" customFormat="1" ht="16.5" customHeight="1">
      <c r="A31" t="s" s="1084">
        <v>1047</v>
      </c>
      <c r="B31" s="1085"/>
      <c r="C31" s="1025">
        <f>C18+C21+C29</f>
        <v>0</v>
      </c>
      <c r="D31" s="1025">
        <f>D18+D21+D29</f>
        <v>0</v>
      </c>
      <c r="E31" s="1025">
        <f>E18+E21+E29</f>
        <v>309829.0989463602</v>
      </c>
      <c r="F31" s="1025">
        <f>F18+F21+F29</f>
        <v>320210.2654762213</v>
      </c>
      <c r="G31" s="1025">
        <f>G18+G21+G29</f>
        <v>331779.7979087317</v>
      </c>
      <c r="H31" s="1025">
        <f>H18+H21+H29</f>
        <v>342629.8803110046</v>
      </c>
      <c r="I31" s="1025">
        <f>I18+I21+I29</f>
        <v>354744.4960493169</v>
      </c>
      <c r="J31" s="1025">
        <f>J18+J21+J29</f>
        <v>368168.9519695698</v>
      </c>
      <c r="K31" s="1025">
        <f>K18+K21+K29</f>
        <v>382582.39864902</v>
      </c>
      <c r="L31" s="1025">
        <f>L18+L21+L29</f>
        <v>398397.5114356392</v>
      </c>
      <c r="M31" s="1025">
        <f>M18+M21+M29</f>
        <v>415663.7367871765</v>
      </c>
      <c r="N31" s="1025">
        <f>N18+N21+N29</f>
        <v>433943.6041454858</v>
      </c>
      <c r="O31" s="1025">
        <f>O18+O21+O29</f>
        <v>453775.6039250514</v>
      </c>
      <c r="P31" s="1025">
        <f>P18+P21+P29</f>
        <v>475212.8564310136</v>
      </c>
      <c r="Q31" s="1025">
        <f>Q18+Q21+Q29</f>
        <v>497701.8036770794</v>
      </c>
      <c r="R31" s="1025">
        <f>R18+R21+R29</f>
        <v>521907.317172089</v>
      </c>
      <c r="S31" s="1025">
        <f>S18+S21+S29</f>
        <v>547888.7547891684</v>
      </c>
      <c r="T31" s="1025">
        <f>T18+T21+T29</f>
        <v>575100.0230193159</v>
      </c>
      <c r="U31" s="1025">
        <f>U18+U21+U29</f>
        <v>604209.6619251589</v>
      </c>
      <c r="V31" s="1025">
        <f>V18+V21+V29</f>
        <v>635283.924279612</v>
      </c>
      <c r="W31" s="1025">
        <f>W18+W21+W29</f>
        <v>667536.9475527909</v>
      </c>
      <c r="X31" s="1025">
        <f>X18+X21+X29</f>
        <v>701889.2850413353</v>
      </c>
      <c r="Y31" s="1025">
        <f>Y18+Y21+Y29</f>
        <v>738411.7773857918</v>
      </c>
      <c r="Z31" s="1025">
        <f>Z18+Z21+Z29</f>
        <v>776205.4717154943</v>
      </c>
      <c r="AA31" s="1025">
        <f>AA18+AA21+AA29</f>
        <v>816318.3538741746</v>
      </c>
      <c r="AB31" s="1025">
        <f>AB18+AB21+AB29</f>
        <v>858828.6442256974</v>
      </c>
      <c r="AC31" s="1025">
        <f>AC18+AC21+AC29</f>
        <v>902722.1060032386</v>
      </c>
      <c r="AD31" s="1025">
        <f>AD18+AD21+AD29</f>
        <v>949176.9891340185</v>
      </c>
      <c r="AE31" s="1025">
        <f>AE18+AE21+AE29</f>
        <v>998280.7508516341</v>
      </c>
      <c r="AF31" s="1025">
        <f>AF18+AF21+AF29</f>
        <v>1048661.906166154</v>
      </c>
      <c r="AG31" s="1025">
        <f>AG18+AG21+AG29</f>
        <v>1101870.562502864</v>
      </c>
      <c r="AH31" s="1025">
        <f>AH18+AH21+AH29</f>
        <v>1157879.425257492</v>
      </c>
      <c r="AI31" s="1025">
        <f>AI18+AI21+AI29</f>
        <v>1205918.055462478</v>
      </c>
      <c r="AJ31" s="1025">
        <f>AJ18+AJ21+AJ29</f>
        <v>1256442.744510296</v>
      </c>
      <c r="AK31" s="1025">
        <f>AK18+AK21+AK29</f>
        <v>1309540.665568914</v>
      </c>
      <c r="AL31" s="1025">
        <f>AL18+AL21+AL29</f>
        <v>1365300.370458353</v>
      </c>
      <c r="AM31" s="1025">
        <f>AM18+AM21+AM29</f>
        <v>1423813.928669533</v>
      </c>
      <c r="AN31" s="1025">
        <f>AN18+AN21+AN29</f>
        <v>1485177.033590483</v>
      </c>
      <c r="AO31" s="1025">
        <f>AO18+AO21+AO29</f>
        <v>1549489.131031811</v>
      </c>
      <c r="AP31" s="1025">
        <f>AP18+AP21+AP29</f>
        <v>1616851.555120492</v>
      </c>
      <c r="AQ31" s="1025">
        <f>AQ18+AQ21+AQ29</f>
        <v>1687371.65160807</v>
      </c>
      <c r="AR31" s="1025">
        <f>AR18+AR21+AR29</f>
        <v>1761157.951191391</v>
      </c>
      <c r="AS31" s="1025">
        <f>AS18+AS21+AS29</f>
        <v>1838323.250408832</v>
      </c>
      <c r="AT31" s="1025">
        <f>AT18+AT21+AT29</f>
        <v>1918983.830164652</v>
      </c>
      <c r="AU31" s="1025">
        <f>AU18+AU21+AU29</f>
        <v>2003262.551986309</v>
      </c>
      <c r="AV31" s="1025">
        <f>AV18+AV21+AV29</f>
        <v>2091284.062122147</v>
      </c>
      <c r="AW31" s="1025">
        <f>AW18+AW21+AW29</f>
        <v>2183176.941039387</v>
      </c>
      <c r="AX31" s="1025">
        <f>AX18+AX21+AX29</f>
        <v>2279075.865872358</v>
      </c>
      <c r="AY31" s="1025">
        <f>AY18+AY21+AY29</f>
        <v>2379118.813460773</v>
      </c>
      <c r="AZ31" s="1025">
        <f>AZ18+AZ21+AZ29</f>
        <v>2483450.226558349</v>
      </c>
      <c r="BA31" s="1025">
        <f>BA18+BA21+BA29</f>
        <v>2592219.205807266</v>
      </c>
      <c r="BB31" s="1025">
        <f>BB18+BB21+BB29</f>
        <v>2705578.727589358</v>
      </c>
      <c r="BC31" s="1086"/>
      <c r="BD31" s="181"/>
      <c r="BE31" s="181"/>
      <c r="BF31" s="181"/>
      <c r="BG31" s="181"/>
      <c r="BH31" s="181"/>
      <c r="BI31" s="181"/>
      <c r="BJ31" s="181"/>
      <c r="BK31" s="181"/>
      <c r="BL31" s="181"/>
      <c r="BM31" s="181"/>
      <c r="BN31" s="181"/>
      <c r="BO31" s="181"/>
      <c r="BP31" s="181"/>
      <c r="BQ31" s="181"/>
      <c r="BR31" s="181"/>
      <c r="BS31" s="181"/>
      <c r="BT31" s="181"/>
      <c r="BU31" s="181"/>
      <c r="BV31" s="181"/>
      <c r="BW31" s="1087"/>
    </row>
    <row r="32" s="1032" customFormat="1" ht="15.75" customHeight="1">
      <c r="A32" s="1074"/>
      <c r="B32" s="1020"/>
      <c r="C32" s="1026"/>
      <c r="D32" s="1026"/>
      <c r="E32" s="1026"/>
      <c r="F32" s="1026"/>
      <c r="G32" s="1026"/>
      <c r="H32" s="1026"/>
      <c r="I32" s="1026"/>
      <c r="J32" s="1026"/>
      <c r="K32" s="1026"/>
      <c r="L32" s="1026"/>
      <c r="M32" s="1026"/>
      <c r="N32" s="1026"/>
      <c r="O32" s="1026"/>
      <c r="P32" s="1026"/>
      <c r="Q32" s="1026"/>
      <c r="R32" s="1026"/>
      <c r="S32" s="1026"/>
      <c r="T32" s="1026"/>
      <c r="U32" s="1026"/>
      <c r="V32" s="1026"/>
      <c r="W32" s="1026"/>
      <c r="X32" s="1026"/>
      <c r="Y32" s="1026"/>
      <c r="Z32" s="1026"/>
      <c r="AA32" s="1026"/>
      <c r="AB32" s="1026"/>
      <c r="AC32" s="1026"/>
      <c r="AD32" s="1026"/>
      <c r="AE32" s="1026"/>
      <c r="AF32" s="1026"/>
      <c r="AG32" s="1005"/>
      <c r="AH32" s="1005"/>
      <c r="AI32" s="1005"/>
      <c r="AJ32" s="1005"/>
      <c r="AK32" s="1005"/>
      <c r="AL32" s="1005"/>
      <c r="AM32" s="1005"/>
      <c r="AN32" s="1005"/>
      <c r="AO32" s="1005"/>
      <c r="AP32" s="1005"/>
      <c r="AQ32" s="1005"/>
      <c r="AR32" s="1005"/>
      <c r="AS32" s="1005"/>
      <c r="AT32" s="1005"/>
      <c r="AU32" s="1005"/>
      <c r="AV32" s="1005"/>
      <c r="AW32" s="1005"/>
      <c r="AX32" s="1005"/>
      <c r="AY32" s="1005"/>
      <c r="AZ32" s="1005"/>
      <c r="BA32" s="1005"/>
      <c r="BB32" s="1005"/>
    </row>
    <row r="33" s="1060" customFormat="1" ht="14.25" customHeight="1">
      <c r="A33" t="s" s="1070">
        <v>1048</v>
      </c>
      <c r="B33" s="1067"/>
      <c r="C33" s="1019">
        <v>0</v>
      </c>
      <c r="D33" s="1019">
        <f>C36</f>
        <v>0</v>
      </c>
      <c r="E33" s="1019">
        <f>D36</f>
        <v>0</v>
      </c>
      <c r="F33" s="1019">
        <f>E33+E34</f>
        <v>309829.0989463602</v>
      </c>
      <c r="G33" s="1019">
        <f>F33+F34</f>
        <v>320210.2654762213</v>
      </c>
      <c r="H33" s="1019">
        <f>G33+G34</f>
        <v>331779.7979087317</v>
      </c>
      <c r="I33" s="1019">
        <f>H33+H34</f>
        <v>342629.8803110046</v>
      </c>
      <c r="J33" s="1019">
        <f>I33+I34</f>
        <v>354744.4960493169</v>
      </c>
      <c r="K33" s="1019">
        <f>J33+J34</f>
        <v>368168.9519695697</v>
      </c>
      <c r="L33" s="1019">
        <f>K33+K34</f>
        <v>382582.3986490199</v>
      </c>
      <c r="M33" s="1019">
        <f>L33+L34</f>
        <v>398397.5114356392</v>
      </c>
      <c r="N33" s="1019">
        <f>M33+M34</f>
        <v>415663.7367871763</v>
      </c>
      <c r="O33" s="1019">
        <f>N33+N34</f>
        <v>433943.6041454856</v>
      </c>
      <c r="P33" s="1019">
        <f>O33+O34</f>
        <v>453775.6039250513</v>
      </c>
      <c r="Q33" s="1019">
        <f>P33+P34</f>
        <v>475212.8564310135</v>
      </c>
      <c r="R33" s="1019">
        <f>Q33+Q34</f>
        <v>497701.8036770793</v>
      </c>
      <c r="S33" s="1019">
        <f>R33+R34</f>
        <v>521907.3171720888</v>
      </c>
      <c r="T33" s="1019">
        <f>S33+S34</f>
        <v>547888.7547891682</v>
      </c>
      <c r="U33" s="1019">
        <f>T33+T34</f>
        <v>575100.0230193158</v>
      </c>
      <c r="V33" s="1019">
        <f>U33+U34</f>
        <v>604209.6619251587</v>
      </c>
      <c r="W33" s="1019">
        <f>V33+V34</f>
        <v>635283.9242796119</v>
      </c>
      <c r="X33" s="1019">
        <f>W33+W34</f>
        <v>667536.9475527907</v>
      </c>
      <c r="Y33" s="1019">
        <f>X33+X34</f>
        <v>701889.285041335</v>
      </c>
      <c r="Z33" s="1019">
        <f>Y33+Y34</f>
        <v>738411.7773857916</v>
      </c>
      <c r="AA33" s="1019">
        <f>Z33+Z34</f>
        <v>776205.4717154941</v>
      </c>
      <c r="AB33" s="1019">
        <f>AA33+AA34</f>
        <v>816318.3538741744</v>
      </c>
      <c r="AC33" s="1019">
        <f>AB33+AB34</f>
        <v>858828.6442256973</v>
      </c>
      <c r="AD33" s="1019">
        <f>AC33+AC34</f>
        <v>902722.1060032385</v>
      </c>
      <c r="AE33" s="1019">
        <f>AD33+AD34</f>
        <v>949176.9891340184</v>
      </c>
      <c r="AF33" s="1019">
        <f>AE33+AE34</f>
        <v>998280.7508516337</v>
      </c>
      <c r="AG33" s="1019">
        <f>AF33+AF34</f>
        <v>1048661.906166154</v>
      </c>
      <c r="AH33" s="1019">
        <f>AG33+AG34</f>
        <v>1101870.562502864</v>
      </c>
      <c r="AI33" s="1019">
        <f>AH33+AH34</f>
        <v>1157879.425257492</v>
      </c>
      <c r="AJ33" s="1019">
        <f>AI33+AI34</f>
        <v>1205918.055462478</v>
      </c>
      <c r="AK33" s="1019">
        <f>AJ33+AJ34</f>
        <v>1256442.744510295</v>
      </c>
      <c r="AL33" s="1019">
        <f>AK33+AK34</f>
        <v>1309540.665568913</v>
      </c>
      <c r="AM33" s="1019">
        <f>AL33+AL34</f>
        <v>1365300.370458353</v>
      </c>
      <c r="AN33" s="1019">
        <f>AM33+AM34</f>
        <v>1423813.928669533</v>
      </c>
      <c r="AO33" s="1019">
        <f>AN33+AN34</f>
        <v>1485177.033590482</v>
      </c>
      <c r="AP33" s="1019">
        <f>AO33+AO34</f>
        <v>1549489.13103181</v>
      </c>
      <c r="AQ33" s="1019">
        <f>AP33+AP34</f>
        <v>1616851.555120492</v>
      </c>
      <c r="AR33" s="1019">
        <f>AQ33+AQ34</f>
        <v>1687371.651608069</v>
      </c>
      <c r="AS33" s="1019">
        <f>AR33+AR34</f>
        <v>1761157.95119139</v>
      </c>
      <c r="AT33" s="1019">
        <f>AS33+AS34</f>
        <v>1838323.250408832</v>
      </c>
      <c r="AU33" s="1019">
        <f>AT33+AT34</f>
        <v>1918983.830164651</v>
      </c>
      <c r="AV33" s="1019">
        <f>AU33+AU34</f>
        <v>2003262.551986309</v>
      </c>
      <c r="AW33" s="1019">
        <f>AV33+AV34</f>
        <v>2091284.062122147</v>
      </c>
      <c r="AX33" s="1019">
        <f>AW33+AW34</f>
        <v>2183176.941039387</v>
      </c>
      <c r="AY33" s="1019">
        <f>AX33+AX34</f>
        <v>2279075.865872358</v>
      </c>
      <c r="AZ33" s="1019">
        <f>AY33+AY34</f>
        <v>2379118.813460773</v>
      </c>
      <c r="BA33" s="1019">
        <f>AZ33+AZ34</f>
        <v>2483450.226558349</v>
      </c>
      <c r="BB33" s="1019">
        <f>BA33+BA34</f>
        <v>2592219.205807266</v>
      </c>
      <c r="BD33" s="1088"/>
    </row>
    <row r="34" s="1060" customFormat="1" ht="14.25" customHeight="1">
      <c r="A34" t="s" s="1070">
        <v>1049</v>
      </c>
      <c r="B34" s="1067"/>
      <c r="C34" s="1019">
        <f>'I&amp;E'!C40</f>
        <v>0</v>
      </c>
      <c r="D34" s="1019">
        <f>'I&amp;E'!D40</f>
        <v>0</v>
      </c>
      <c r="E34" s="1019">
        <f>'I&amp;E'!E40</f>
        <v>309829.0989463602</v>
      </c>
      <c r="F34" s="1019">
        <f>'I&amp;E'!F40</f>
        <v>10381.166529861110</v>
      </c>
      <c r="G34" s="1019">
        <f>'I&amp;E'!G40</f>
        <v>11569.532432510414</v>
      </c>
      <c r="H34" s="1019">
        <f>'I&amp;E'!H40</f>
        <v>10850.082402272965</v>
      </c>
      <c r="I34" s="1019">
        <f>'I&amp;E'!I40</f>
        <v>12114.615738312328</v>
      </c>
      <c r="J34" s="1019">
        <f>'I&amp;E'!J40</f>
        <v>13424.455920252734</v>
      </c>
      <c r="K34" s="1019">
        <f>'I&amp;E'!K40</f>
        <v>14413.4466794503</v>
      </c>
      <c r="L34" s="1019">
        <f>'I&amp;E'!L40</f>
        <v>15815.112786619253</v>
      </c>
      <c r="M34" s="1019">
        <f>'I&amp;E'!M40</f>
        <v>17266.2253515372</v>
      </c>
      <c r="N34" s="1019">
        <f>'I&amp;E'!N40</f>
        <v>18279.867358309275</v>
      </c>
      <c r="O34" s="1019">
        <f>'I&amp;E'!O40</f>
        <v>19831.999779565642</v>
      </c>
      <c r="P34" s="1019">
        <f>'I&amp;E'!P40</f>
        <v>21437.252505962239</v>
      </c>
      <c r="Q34" s="1019">
        <f>'I&amp;E'!Q40</f>
        <v>22488.947246065774</v>
      </c>
      <c r="R34" s="1019">
        <f>'I&amp;E'!R40</f>
        <v>24205.513495009549</v>
      </c>
      <c r="S34" s="1019">
        <f>'I&amp;E'!S40</f>
        <v>25981.437617079446</v>
      </c>
      <c r="T34" s="1019">
        <f>'I&amp;E'!T40</f>
        <v>27211.268230147532</v>
      </c>
      <c r="U34" s="1019">
        <f>'I&amp;E'!U40</f>
        <v>29109.638905842945</v>
      </c>
      <c r="V34" s="1019">
        <f>'I&amp;E'!V40</f>
        <v>31074.262354453174</v>
      </c>
      <c r="W34" s="1019">
        <f>'I&amp;E'!W40</f>
        <v>32253.023273178886</v>
      </c>
      <c r="X34" s="1019">
        <f>'I&amp;E'!X40</f>
        <v>34352.337488544326</v>
      </c>
      <c r="Y34" s="1019">
        <f>'I&amp;E'!Y40</f>
        <v>36522.492344456572</v>
      </c>
      <c r="Z34" s="1019">
        <f>'I&amp;E'!Z40</f>
        <v>37793.694329702470</v>
      </c>
      <c r="AA34" s="1019">
        <f>'I&amp;E'!AA40</f>
        <v>40112.882158680317</v>
      </c>
      <c r="AB34" s="1019">
        <f>'I&amp;E'!AB40</f>
        <v>42510.290351522912</v>
      </c>
      <c r="AC34" s="1019">
        <f>'I&amp;E'!AC40</f>
        <v>43893.461777541219</v>
      </c>
      <c r="AD34" s="1019">
        <f>'I&amp;E'!AD40</f>
        <v>46454.883130779926</v>
      </c>
      <c r="AE34" s="1019">
        <f>'I&amp;E'!AE40</f>
        <v>49103.761717615358</v>
      </c>
      <c r="AF34" s="1019">
        <f>'I&amp;E'!AF40</f>
        <v>50381.155314520416</v>
      </c>
      <c r="AG34" s="1019">
        <f>'I&amp;E'!AG40</f>
        <v>53208.656336709515</v>
      </c>
      <c r="AH34" s="1019">
        <f>'I&amp;E'!AH40</f>
        <v>56008.862754628055</v>
      </c>
      <c r="AI34" s="1019">
        <f>'I&amp;E'!AI40</f>
        <v>48038.630204985733</v>
      </c>
      <c r="AJ34" s="1019">
        <f>'I&amp;E'!AJ40</f>
        <v>50524.689047817723</v>
      </c>
      <c r="AK34" s="1019">
        <f>'I&amp;E'!AK40</f>
        <v>53097.921058618093</v>
      </c>
      <c r="AL34" s="1019">
        <f>'I&amp;E'!AL40</f>
        <v>55759.704889439294</v>
      </c>
      <c r="AM34" s="1019">
        <f>'I&amp;E'!AM40</f>
        <v>58513.558211180454</v>
      </c>
      <c r="AN34" s="1019">
        <f>'I&amp;E'!AN40</f>
        <v>61363.104920949147</v>
      </c>
      <c r="AO34" s="1019">
        <f>'I&amp;E'!AO40</f>
        <v>64312.097441328049</v>
      </c>
      <c r="AP34" s="1019">
        <f>'I&amp;E'!AP40</f>
        <v>67362.424088682092</v>
      </c>
      <c r="AQ34" s="1019">
        <f>'I&amp;E'!AQ40</f>
        <v>70520.096487577306</v>
      </c>
      <c r="AR34" s="1019">
        <f>'I&amp;E'!AR40</f>
        <v>73786.299583320564</v>
      </c>
      <c r="AS34" s="1019">
        <f>'I&amp;E'!AS40</f>
        <v>77165.2992174417</v>
      </c>
      <c r="AT34" s="1019">
        <f>'I&amp;E'!AT40</f>
        <v>80660.579755819577</v>
      </c>
      <c r="AU34" s="1019">
        <f>'I&amp;E'!AU40</f>
        <v>84278.721821658051</v>
      </c>
      <c r="AV34" s="1019">
        <f>'I&amp;E'!AV40</f>
        <v>88021.510135837510</v>
      </c>
      <c r="AW34" s="1019">
        <f>'I&amp;E'!AW40</f>
        <v>91892.87891724</v>
      </c>
      <c r="AX34" s="1019">
        <f>'I&amp;E'!AX40</f>
        <v>95898.924832971214</v>
      </c>
      <c r="AY34" s="1019">
        <f>'I&amp;E'!AY40</f>
        <v>100042.9475884154</v>
      </c>
      <c r="AZ34" s="1019">
        <f>'I&amp;E'!AZ40</f>
        <v>104331.4130975752</v>
      </c>
      <c r="BA34" s="1019">
        <f>'I&amp;E'!BA40</f>
        <v>108768.9792489173</v>
      </c>
      <c r="BB34" s="1019">
        <f>'I&amp;E'!BB40</f>
        <v>113359.5217820918</v>
      </c>
    </row>
    <row r="35" s="1060" customFormat="1" ht="14.25" customHeight="1">
      <c r="A35" s="1071"/>
      <c r="B35" s="1067"/>
      <c r="C35" s="1072"/>
      <c r="D35" s="1022"/>
      <c r="E35" s="1022"/>
      <c r="F35" s="1022"/>
      <c r="G35" s="1022"/>
      <c r="H35" s="1022"/>
      <c r="I35" s="1022"/>
      <c r="J35" s="1022"/>
      <c r="K35" s="1022"/>
      <c r="L35" s="1022"/>
      <c r="M35" s="1022"/>
      <c r="N35" s="1022"/>
      <c r="O35" s="1022"/>
      <c r="P35" s="1022"/>
      <c r="Q35" s="1022"/>
      <c r="R35" s="1022"/>
      <c r="S35" s="1022"/>
      <c r="T35" s="1022"/>
      <c r="U35" s="1022"/>
      <c r="V35" s="1022"/>
      <c r="W35" s="1022"/>
      <c r="X35" s="1022"/>
      <c r="Y35" s="1022"/>
      <c r="Z35" s="1022"/>
      <c r="AA35" s="1022"/>
      <c r="AB35" s="1022"/>
      <c r="AC35" s="1022"/>
      <c r="AD35" s="1022"/>
      <c r="AE35" s="1022"/>
      <c r="AF35" s="1022"/>
      <c r="AG35" s="1022"/>
      <c r="AH35" s="1022"/>
      <c r="AI35" s="1022"/>
      <c r="AJ35" s="1022"/>
      <c r="AK35" s="1022"/>
      <c r="AL35" s="1022"/>
      <c r="AM35" s="1022"/>
      <c r="AN35" s="1022"/>
      <c r="AO35" s="1022"/>
      <c r="AP35" s="1022"/>
      <c r="AQ35" s="1022"/>
      <c r="AR35" s="1022"/>
      <c r="AS35" s="1022"/>
      <c r="AT35" s="1022"/>
      <c r="AU35" s="1022"/>
      <c r="AV35" s="1022"/>
      <c r="AW35" s="1022"/>
      <c r="AX35" s="1022"/>
      <c r="AY35" s="1022"/>
      <c r="AZ35" s="1022"/>
      <c r="BA35" s="1022"/>
      <c r="BB35" s="1022"/>
    </row>
    <row r="36" s="1089" customFormat="1" ht="16.5" customHeight="1">
      <c r="A36" t="s" s="1090">
        <v>1050</v>
      </c>
      <c r="B36" s="1091"/>
      <c r="C36" s="1025">
        <f>SUM(C33:C35)</f>
        <v>0</v>
      </c>
      <c r="D36" s="1025">
        <f>SUM(D33:D35)</f>
        <v>0</v>
      </c>
      <c r="E36" s="1025">
        <f>SUM(E33:E35)</f>
        <v>309829.0989463602</v>
      </c>
      <c r="F36" s="1025">
        <f>SUM(F33:F35)</f>
        <v>320210.2654762213</v>
      </c>
      <c r="G36" s="1025">
        <f>SUM(G33:G35)</f>
        <v>331779.7979087317</v>
      </c>
      <c r="H36" s="1025">
        <f>SUM(H33:H35)</f>
        <v>342629.8803110046</v>
      </c>
      <c r="I36" s="1025">
        <f>SUM(I33:I35)</f>
        <v>354744.4960493169</v>
      </c>
      <c r="J36" s="1025">
        <f>SUM(J33:J35)</f>
        <v>368168.9519695697</v>
      </c>
      <c r="K36" s="1025">
        <f>SUM(K33:K35)</f>
        <v>382582.3986490199</v>
      </c>
      <c r="L36" s="1025">
        <f>SUM(L33:L35)</f>
        <v>398397.5114356392</v>
      </c>
      <c r="M36" s="1025">
        <f>SUM(M33:M35)</f>
        <v>415663.7367871763</v>
      </c>
      <c r="N36" s="1025">
        <f>SUM(N33:N35)</f>
        <v>433943.6041454856</v>
      </c>
      <c r="O36" s="1025">
        <f>SUM(O33:O35)</f>
        <v>453775.6039250513</v>
      </c>
      <c r="P36" s="1025">
        <f>SUM(P33:P35)</f>
        <v>475212.8564310135</v>
      </c>
      <c r="Q36" s="1025">
        <f>SUM(Q33:Q35)</f>
        <v>497701.8036770793</v>
      </c>
      <c r="R36" s="1025">
        <f>SUM(R33:R35)</f>
        <v>521907.3171720888</v>
      </c>
      <c r="S36" s="1025">
        <f>SUM(S33:S35)</f>
        <v>547888.7547891682</v>
      </c>
      <c r="T36" s="1025">
        <f>SUM(T33:T35)</f>
        <v>575100.0230193158</v>
      </c>
      <c r="U36" s="1025">
        <f>SUM(U33:U35)</f>
        <v>604209.6619251587</v>
      </c>
      <c r="V36" s="1025">
        <f>SUM(V33:V35)</f>
        <v>635283.9242796119</v>
      </c>
      <c r="W36" s="1025">
        <f>SUM(W33:W35)</f>
        <v>667536.9475527907</v>
      </c>
      <c r="X36" s="1025">
        <f>SUM(X33:X35)</f>
        <v>701889.285041335</v>
      </c>
      <c r="Y36" s="1025">
        <f>SUM(Y33:Y35)</f>
        <v>738411.7773857916</v>
      </c>
      <c r="Z36" s="1025">
        <f>SUM(Z33:Z35)</f>
        <v>776205.4717154941</v>
      </c>
      <c r="AA36" s="1025">
        <f>SUM(AA33:AA35)</f>
        <v>816318.3538741744</v>
      </c>
      <c r="AB36" s="1025">
        <f>SUM(AB33:AB35)</f>
        <v>858828.6442256973</v>
      </c>
      <c r="AC36" s="1025">
        <f>SUM(AC33:AC35)</f>
        <v>902722.1060032385</v>
      </c>
      <c r="AD36" s="1025">
        <f>SUM(AD33:AD35)</f>
        <v>949176.9891340184</v>
      </c>
      <c r="AE36" s="1025">
        <f>SUM(AE33:AE35)</f>
        <v>998280.7508516337</v>
      </c>
      <c r="AF36" s="1025">
        <f>SUM(AF33:AF35)</f>
        <v>1048661.906166154</v>
      </c>
      <c r="AG36" s="1025">
        <f>SUM(AG33:AG35)</f>
        <v>1101870.562502864</v>
      </c>
      <c r="AH36" s="1025">
        <f>SUM(AH33:AH35)</f>
        <v>1157879.425257492</v>
      </c>
      <c r="AI36" s="1025">
        <f>SUM(AI33:AI35)</f>
        <v>1205918.055462478</v>
      </c>
      <c r="AJ36" s="1025">
        <f>SUM(AJ33:AJ35)</f>
        <v>1256442.744510295</v>
      </c>
      <c r="AK36" s="1025">
        <f>SUM(AK33:AK35)</f>
        <v>1309540.665568913</v>
      </c>
      <c r="AL36" s="1025">
        <f>SUM(AL33:AL35)</f>
        <v>1365300.370458353</v>
      </c>
      <c r="AM36" s="1025">
        <f>SUM(AM33:AM35)</f>
        <v>1423813.928669533</v>
      </c>
      <c r="AN36" s="1025">
        <f>SUM(AN33:AN35)</f>
        <v>1485177.033590482</v>
      </c>
      <c r="AO36" s="1025">
        <f>SUM(AO33:AO35)</f>
        <v>1549489.13103181</v>
      </c>
      <c r="AP36" s="1025">
        <f>SUM(AP33:AP35)</f>
        <v>1616851.555120492</v>
      </c>
      <c r="AQ36" s="1025">
        <f>SUM(AQ33:AQ35)</f>
        <v>1687371.651608069</v>
      </c>
      <c r="AR36" s="1025">
        <f>SUM(AR33:AR35)</f>
        <v>1761157.95119139</v>
      </c>
      <c r="AS36" s="1025">
        <f>SUM(AS33:AS35)</f>
        <v>1838323.250408832</v>
      </c>
      <c r="AT36" s="1025">
        <f>SUM(AT33:AT35)</f>
        <v>1918983.830164651</v>
      </c>
      <c r="AU36" s="1025">
        <f>SUM(AU33:AU35)</f>
        <v>2003262.551986309</v>
      </c>
      <c r="AV36" s="1025">
        <f>SUM(AV33:AV35)</f>
        <v>2091284.062122147</v>
      </c>
      <c r="AW36" s="1025">
        <f>SUM(AW33:AW35)</f>
        <v>2183176.941039387</v>
      </c>
      <c r="AX36" s="1025">
        <f>SUM(AX33:AX35)</f>
        <v>2279075.865872358</v>
      </c>
      <c r="AY36" s="1025">
        <f>SUM(AY33:AY35)</f>
        <v>2379118.813460773</v>
      </c>
      <c r="AZ36" s="1025">
        <f>SUM(AZ33:AZ35)</f>
        <v>2483450.226558349</v>
      </c>
      <c r="BA36" s="1025">
        <f>SUM(BA33:BA35)</f>
        <v>2592219.205807266</v>
      </c>
      <c r="BB36" s="1025">
        <f>SUM(BB33:BB35)</f>
        <v>2705578.727589358</v>
      </c>
      <c r="BD36" s="1092"/>
    </row>
    <row r="37" s="1060" customFormat="1" ht="17" customHeight="1">
      <c r="A37" s="1093"/>
      <c r="B37" s="1094"/>
      <c r="C37" s="1094"/>
      <c r="D37" s="1094"/>
      <c r="E37" s="1094"/>
      <c r="F37" s="1094"/>
      <c r="G37" s="1094"/>
      <c r="H37" s="1094"/>
      <c r="I37" s="1094"/>
      <c r="J37" s="1094"/>
      <c r="K37" s="1094"/>
      <c r="L37" s="1094"/>
      <c r="M37" s="1094"/>
      <c r="N37" s="1094"/>
      <c r="O37" s="1094"/>
      <c r="P37" s="1094"/>
      <c r="Q37" s="1094"/>
      <c r="R37" s="1094"/>
      <c r="S37" s="1094"/>
      <c r="T37" s="1094"/>
      <c r="U37" s="1094"/>
      <c r="V37" s="1094"/>
      <c r="W37" s="1094"/>
      <c r="X37" s="1094"/>
      <c r="Y37" s="1094"/>
      <c r="Z37" s="1094"/>
      <c r="AA37" s="1094"/>
      <c r="AB37" s="1094"/>
      <c r="AC37" s="1094"/>
      <c r="AD37" s="1094"/>
      <c r="AE37" s="1094"/>
      <c r="AF37" s="1094"/>
      <c r="AG37" s="1094"/>
      <c r="AH37" s="1094"/>
      <c r="AI37" s="1094"/>
      <c r="AJ37" s="1094"/>
      <c r="AK37" s="1094"/>
      <c r="AL37" s="1094"/>
      <c r="AM37" s="1094"/>
      <c r="AN37" s="1094"/>
      <c r="AO37" s="1094"/>
      <c r="AP37" s="1094"/>
      <c r="AQ37" s="1094"/>
      <c r="AR37" s="1094"/>
      <c r="AS37" s="1094"/>
      <c r="AT37" s="1094"/>
      <c r="AU37" s="1094"/>
      <c r="AV37" s="1094"/>
      <c r="AW37" s="1094"/>
      <c r="AX37" s="1094"/>
      <c r="AY37" s="1094"/>
      <c r="AZ37" s="1094"/>
      <c r="BA37" s="1094"/>
      <c r="BB37" s="1094"/>
    </row>
    <row r="38" s="1060" customFormat="1" ht="14.25" customHeight="1">
      <c r="A38" t="s" s="1095">
        <v>1051</v>
      </c>
      <c r="B38" s="1096"/>
      <c r="C38" s="1097">
        <f>C31-C36</f>
        <v>0</v>
      </c>
      <c r="D38" s="1097">
        <f>D31-D36</f>
        <v>0</v>
      </c>
      <c r="E38" s="1097">
        <f>E31-E36</f>
        <v>0</v>
      </c>
      <c r="F38" s="1097">
        <f>F31-F36</f>
        <v>0</v>
      </c>
      <c r="G38" s="1097">
        <f>G31-G36</f>
        <v>0</v>
      </c>
      <c r="H38" s="1097">
        <f>H31-H36</f>
        <v>0</v>
      </c>
      <c r="I38" s="1097">
        <f>I31-I36</f>
        <v>0</v>
      </c>
      <c r="J38" s="1097">
        <f>J31-J36</f>
        <v>1.164153218269348e-10</v>
      </c>
      <c r="K38" s="1097">
        <f>K31-K36</f>
        <v>5.820766091346741e-11</v>
      </c>
      <c r="L38" s="1097">
        <f>L31-L36</f>
        <v>5.820766091346741e-11</v>
      </c>
      <c r="M38" s="1097">
        <f>M31-M36</f>
        <v>1.164153218269348e-10</v>
      </c>
      <c r="N38" s="1097">
        <f>N31-N36</f>
        <v>1.746229827404022e-10</v>
      </c>
      <c r="O38" s="1097">
        <f>O31-O36</f>
        <v>1.164153218269348e-10</v>
      </c>
      <c r="P38" s="1097">
        <f>P31-P36</f>
        <v>1.164153218269348e-10</v>
      </c>
      <c r="Q38" s="1097">
        <f>Q31-Q36</f>
        <v>1.164153218269348e-10</v>
      </c>
      <c r="R38" s="1097">
        <f>R31-R36</f>
        <v>1.164153218269348e-10</v>
      </c>
      <c r="S38" s="1097">
        <f>S31-S36</f>
        <v>1.164153218269348e-10</v>
      </c>
      <c r="T38" s="1097">
        <f>T31-T36</f>
        <v>1.164153218269348e-10</v>
      </c>
      <c r="U38" s="1097">
        <f>U31-U36</f>
        <v>2.328306436538696e-10</v>
      </c>
      <c r="V38" s="1097">
        <f>V31-V36</f>
        <v>1.164153218269348e-10</v>
      </c>
      <c r="W38" s="1097">
        <f>W31-W36</f>
        <v>1.164153218269348e-10</v>
      </c>
      <c r="X38" s="1097">
        <f>X31-X36</f>
        <v>2.328306436538696e-10</v>
      </c>
      <c r="Y38" s="1097">
        <f>Y31-Y36</f>
        <v>1.164153218269348e-10</v>
      </c>
      <c r="Z38" s="1097">
        <f>Z31-Z36</f>
        <v>2.328306436538696e-10</v>
      </c>
      <c r="AA38" s="1097">
        <f>AA31-AA36</f>
        <v>2.328306436538696e-10</v>
      </c>
      <c r="AB38" s="1097">
        <f>AB31-AB36</f>
        <v>1.164153218269348e-10</v>
      </c>
      <c r="AC38" s="1097">
        <f>AC31-AC36</f>
        <v>1.164153218269348e-10</v>
      </c>
      <c r="AD38" s="1097">
        <f>AD31-AD36</f>
        <v>1.164153218269348e-10</v>
      </c>
      <c r="AE38" s="1097">
        <f>AE31-AE36</f>
        <v>3.492459654808044e-10</v>
      </c>
      <c r="AF38" s="1097">
        <f>AF31-AF36</f>
        <v>2.328306436538696e-10</v>
      </c>
      <c r="AG38" s="1097">
        <f>AG31-AG36</f>
        <v>2.328306436538696e-10</v>
      </c>
      <c r="AH38" s="1097">
        <f>AH31-AH36</f>
        <v>2.328306436538696e-10</v>
      </c>
      <c r="AI38" s="1097">
        <f>AI31-AI36</f>
        <v>2.328306436538696e-10</v>
      </c>
      <c r="AJ38" s="1097">
        <f>AJ31-AJ36</f>
        <v>2.328306436538696e-10</v>
      </c>
      <c r="AK38" s="1097">
        <f>AK31-AK36</f>
        <v>4.656612873077393e-10</v>
      </c>
      <c r="AL38" s="1097">
        <f>AL31-AL36</f>
        <v>2.328306436538696e-10</v>
      </c>
      <c r="AM38" s="1097">
        <f>AM31-AM36</f>
        <v>2.328306436538696e-10</v>
      </c>
      <c r="AN38" s="1097">
        <f>AN31-AN36</f>
        <v>4.656612873077393e-10</v>
      </c>
      <c r="AO38" s="1097">
        <f>AO31-AO36</f>
        <v>6.984919309616089e-10</v>
      </c>
      <c r="AP38" s="1097">
        <f>AP31-AP36</f>
        <v>2.328306436538696e-10</v>
      </c>
      <c r="AQ38" s="1097">
        <f>AQ31-AQ36</f>
        <v>4.656612873077393e-10</v>
      </c>
      <c r="AR38" s="1097">
        <f>AR31-AR36</f>
        <v>6.984919309616089e-10</v>
      </c>
      <c r="AS38" s="1097">
        <f>AS31-AS36</f>
        <v>6.984919309616089e-10</v>
      </c>
      <c r="AT38" s="1097">
        <f>AT31-AT36</f>
        <v>4.656612873077393e-10</v>
      </c>
      <c r="AU38" s="1097">
        <f>AU31-AU36</f>
        <v>2.328306436538696e-10</v>
      </c>
      <c r="AV38" s="1097">
        <f>AV31-AV36</f>
        <v>2.328306436538696e-10</v>
      </c>
      <c r="AW38" s="1097">
        <f>AW31-AW36</f>
        <v>0</v>
      </c>
      <c r="AX38" s="1097">
        <f>AX31-AX36</f>
        <v>0</v>
      </c>
      <c r="AY38" s="1097">
        <f>AY31-AY36</f>
        <v>0</v>
      </c>
      <c r="AZ38" s="1097">
        <f>AZ31-AZ36</f>
        <v>4.656612873077393e-10</v>
      </c>
      <c r="BA38" s="1097">
        <f>BA31-BA36</f>
        <v>4.656612873077393e-10</v>
      </c>
      <c r="BB38" s="1097">
        <f>BB31-BB36</f>
        <v>4.656612873077393e-10</v>
      </c>
    </row>
    <row r="39" s="1060" customFormat="1" ht="20.25" customHeight="1">
      <c r="A39" s="1098"/>
      <c r="B39" s="1096"/>
      <c r="C39" s="1096"/>
      <c r="D39" s="1099"/>
      <c r="E39" s="1099"/>
      <c r="F39" s="1099"/>
      <c r="G39" s="1099"/>
      <c r="H39" s="1099"/>
      <c r="I39" s="1099"/>
      <c r="J39" s="1099"/>
      <c r="K39" s="1099"/>
      <c r="L39" s="1099"/>
      <c r="M39" s="1099"/>
      <c r="N39" s="1099"/>
      <c r="O39" s="1099"/>
      <c r="P39" s="1099"/>
      <c r="Q39" s="1099"/>
      <c r="R39" s="1099"/>
      <c r="S39" s="1099"/>
      <c r="T39" s="1099"/>
      <c r="U39" s="1099"/>
      <c r="V39" s="1099"/>
      <c r="W39" s="1099"/>
      <c r="X39" s="1099"/>
      <c r="Y39" s="1099"/>
      <c r="Z39" s="1099"/>
      <c r="AA39" s="1099"/>
      <c r="AB39" s="1099"/>
      <c r="AC39" s="1099"/>
      <c r="AD39" s="1099"/>
      <c r="AE39" s="1099"/>
      <c r="AF39" s="1099"/>
      <c r="AG39" s="1099"/>
      <c r="AH39" s="1100"/>
      <c r="AI39" s="1100"/>
      <c r="AJ39" s="1100"/>
      <c r="AK39" s="1100"/>
      <c r="AL39" s="1100"/>
      <c r="AM39" s="1100"/>
      <c r="AN39" s="1100"/>
      <c r="AO39" s="1100"/>
      <c r="AP39" s="1100"/>
      <c r="AQ39" s="1100"/>
      <c r="AR39" s="1100"/>
      <c r="AS39" s="1100"/>
      <c r="AT39" s="1100"/>
      <c r="AU39" s="1100"/>
      <c r="AV39" s="1100"/>
      <c r="AW39" s="1100"/>
      <c r="AX39" s="1100"/>
      <c r="AY39" s="1100"/>
      <c r="AZ39" s="1100"/>
      <c r="BA39" s="1100"/>
      <c r="BB39" s="1100"/>
    </row>
    <row r="40" s="1060" customFormat="1" ht="14.25" customHeight="1" hidden="1">
      <c r="D40" s="229"/>
      <c r="E40" s="229">
        <f>IF(AND(E36&gt;=0,F36&gt;=0),1,0)</f>
        <v>1</v>
      </c>
      <c r="F40" s="229">
        <f>IF(AND(F36&gt;=0,G36&gt;=0),1,0)</f>
        <v>1</v>
      </c>
      <c r="G40" s="229">
        <f>IF(AND(G36&gt;=0,H36&gt;=0),1,0)</f>
        <v>1</v>
      </c>
      <c r="H40" s="229">
        <f>IF(AND(H36&gt;=0,I36&gt;=0),1,0)</f>
        <v>1</v>
      </c>
      <c r="I40" s="229">
        <f>IF(AND(I36&gt;=0,J36&gt;=0),1,0)</f>
        <v>1</v>
      </c>
      <c r="J40" s="229">
        <f>IF(AND(J36&gt;=0,K36&gt;=0),1,0)</f>
        <v>1</v>
      </c>
      <c r="K40" s="229">
        <f>IF(AND(K36&gt;=0,L36&gt;=0),1,0)</f>
        <v>1</v>
      </c>
      <c r="L40" s="229">
        <f>IF(AND(L36&gt;=0,M36&gt;=0),1,0)</f>
        <v>1</v>
      </c>
      <c r="M40" s="229">
        <f>IF(AND(M36&gt;=0,N36&gt;=0),1,0)</f>
        <v>1</v>
      </c>
      <c r="N40" s="229">
        <f>IF(AND(N36&gt;=0,O36&gt;=0),1,0)</f>
        <v>1</v>
      </c>
      <c r="O40" s="229">
        <f>IF(AND(O36&gt;=0,P36&gt;=0),1,0)</f>
        <v>1</v>
      </c>
      <c r="P40" s="229">
        <f>IF(AND(P36&gt;=0,Q36&gt;=0),1,0)</f>
        <v>1</v>
      </c>
      <c r="Q40" s="229">
        <f>IF(AND(Q36&gt;=0,R36&gt;=0),1,0)</f>
        <v>1</v>
      </c>
      <c r="R40" s="229">
        <f>IF(AND(R36&gt;=0,S36&gt;=0),1,0)</f>
        <v>1</v>
      </c>
      <c r="S40" s="229">
        <f>IF(AND(S36&gt;=0,T36&gt;=0),1,0)</f>
        <v>1</v>
      </c>
      <c r="T40" s="229">
        <f>IF(AND(T36&gt;=0,U36&gt;=0),1,0)</f>
        <v>1</v>
      </c>
      <c r="U40" s="229">
        <f>IF(AND(U36&gt;=0,V36&gt;=0),1,0)</f>
        <v>1</v>
      </c>
      <c r="V40" s="229">
        <f>IF(AND(V36&gt;=0,W36&gt;=0),1,0)</f>
        <v>1</v>
      </c>
      <c r="W40" s="229">
        <f>IF(AND(W36&gt;=0,X36&gt;=0),1,0)</f>
        <v>1</v>
      </c>
      <c r="X40" s="229">
        <f>IF(AND(X36&gt;=0,Y36&gt;=0),1,0)</f>
        <v>1</v>
      </c>
      <c r="Y40" s="229">
        <f>IF(AND(Y36&gt;=0,Z36&gt;=0),1,0)</f>
        <v>1</v>
      </c>
      <c r="Z40" s="229">
        <f>IF(AND(Z36&gt;=0,AA36&gt;=0),1,0)</f>
        <v>1</v>
      </c>
      <c r="AA40" s="229">
        <f>IF(AND(AA36&gt;=0,AB36&gt;=0),1,0)</f>
        <v>1</v>
      </c>
      <c r="AB40" s="229">
        <f>IF(AND(AB36&gt;=0,AC36&gt;=0),1,0)</f>
        <v>1</v>
      </c>
      <c r="AC40" s="229">
        <f>IF(AND(AC36&gt;=0,AD36&gt;=0),1,0)</f>
        <v>1</v>
      </c>
      <c r="AD40" s="229">
        <f>IF(AND(AD36&gt;=0,AE36&gt;=0),1,0)</f>
        <v>1</v>
      </c>
      <c r="AE40" s="229">
        <f>IF(AND(AE36&gt;=0,AF36&gt;=0),1,0)</f>
        <v>1</v>
      </c>
      <c r="AF40" s="229">
        <f>IF(AND(AF36&gt;=0,AG36&gt;=0),1,0)</f>
        <v>1</v>
      </c>
      <c r="AG40" s="229">
        <f>IF(AND(AG36&gt;=0,AH36&gt;=0),1,0)</f>
        <v>1</v>
      </c>
      <c r="AH40" s="229">
        <f>IF(AND(AH36&gt;=0,BC36&gt;=0),1,0)</f>
        <v>1</v>
      </c>
      <c r="AI40" s="229">
        <f>IF(AND(AI36&gt;=0,BD36&gt;=0),1,0)</f>
        <v>1</v>
      </c>
      <c r="AJ40" s="229">
        <f>IF(AND(AJ36&gt;=0,BE36&gt;=0),1,0)</f>
        <v>1</v>
      </c>
      <c r="AK40" s="229">
        <f>IF(AND(AK36&gt;=0,BF36&gt;=0),1,0)</f>
        <v>1</v>
      </c>
      <c r="AL40" s="229">
        <f>IF(AND(AL36&gt;=0,BG36&gt;=0),1,0)</f>
        <v>1</v>
      </c>
      <c r="AM40" s="229">
        <f>IF(AND(AM36&gt;=0,BH36&gt;=0),1,0)</f>
        <v>1</v>
      </c>
      <c r="AN40" s="229">
        <f>IF(AND(AN36&gt;=0,BI36&gt;=0),1,0)</f>
        <v>1</v>
      </c>
      <c r="AO40" s="229">
        <f>IF(AND(AO36&gt;=0,BJ36&gt;=0),1,0)</f>
        <v>1</v>
      </c>
      <c r="AP40" s="229">
        <f>IF(AND(AP36&gt;=0,BK36&gt;=0),1,0)</f>
        <v>1</v>
      </c>
      <c r="AQ40" s="229">
        <f>IF(AND(AQ36&gt;=0,BL36&gt;=0),1,0)</f>
        <v>1</v>
      </c>
      <c r="AR40" s="229">
        <f>IF(AND(AR36&gt;=0,BM36&gt;=0),1,0)</f>
        <v>1</v>
      </c>
      <c r="AS40" s="229">
        <f>IF(AND(AS36&gt;=0,BN36&gt;=0),1,0)</f>
        <v>1</v>
      </c>
      <c r="AT40" s="229">
        <f>IF(AND(AT36&gt;=0,BO36&gt;=0),1,0)</f>
        <v>1</v>
      </c>
      <c r="AU40" s="229">
        <f>IF(AND(AU36&gt;=0,BP36&gt;=0),1,0)</f>
        <v>1</v>
      </c>
      <c r="AV40" s="229">
        <f>IF(AND(AV36&gt;=0,BQ36&gt;=0),1,0)</f>
        <v>1</v>
      </c>
      <c r="AW40" s="229">
        <f>IF(AND(AW36&gt;=0,BR36&gt;=0),1,0)</f>
        <v>1</v>
      </c>
      <c r="AX40" s="229">
        <f>IF(AND(AX36&gt;=0,BS36&gt;=0),1,0)</f>
        <v>1</v>
      </c>
      <c r="AY40" s="229">
        <f>IF(AND(AY36&gt;=0,BT36&gt;=0),1,0)</f>
        <v>1</v>
      </c>
      <c r="AZ40" s="229">
        <f>IF(AND(AZ36&gt;=0,BU36&gt;=0),1,0)</f>
        <v>1</v>
      </c>
      <c r="BA40" s="229">
        <f>IF(AND(BA36&gt;=0,BV36&gt;=0),1,0)</f>
        <v>1</v>
      </c>
      <c r="BB40" s="229">
        <f>IF(AND(BB36&gt;=0,BW36&gt;=0),1,0)</f>
        <v>1</v>
      </c>
      <c r="BC40" s="1101">
        <f>IF(AH36&lt;0,1,0)</f>
        <v>0</v>
      </c>
    </row>
    <row r="42" s="978" customFormat="1" ht="15" customHeight="1" hidden="1">
      <c r="A42" t="s" s="988">
        <v>1052</v>
      </c>
      <c r="C42" s="86">
        <f>C21+C29</f>
        <v>0</v>
      </c>
      <c r="D42" s="86">
        <f>D21+D29</f>
        <v>-1089718</v>
      </c>
      <c r="E42" s="86">
        <f>E21+E29</f>
        <v>-520544.3090277778</v>
      </c>
      <c r="F42" s="86">
        <f>F21+F29</f>
        <v>-510163.1424979166</v>
      </c>
      <c r="G42" s="86">
        <f>G21+G29</f>
        <v>-498593.6100654062</v>
      </c>
      <c r="H42" s="86">
        <f>H21+H29</f>
        <v>-487743.5276631333</v>
      </c>
      <c r="I42" s="86">
        <f>I21+I29</f>
        <v>-475628.911924821</v>
      </c>
      <c r="J42" s="86">
        <f>J21+J29</f>
        <v>-462204.4560045682</v>
      </c>
      <c r="K42" s="86">
        <f>K21+K29</f>
        <v>-447791.0093251179</v>
      </c>
      <c r="L42" s="86">
        <f>L21+L29</f>
        <v>-431975.8965384986</v>
      </c>
      <c r="M42" s="86">
        <f>M21+M29</f>
        <v>-414709.6711869615</v>
      </c>
      <c r="N42" s="86">
        <f>N21+N29</f>
        <v>-396429.8038286521</v>
      </c>
      <c r="O42" s="86">
        <f>O21+O29</f>
        <v>-376597.8040490865</v>
      </c>
      <c r="P42" s="86">
        <f>P21+P29</f>
        <v>-355160.5515431243</v>
      </c>
      <c r="Q42" s="86">
        <f>Q21+Q29</f>
        <v>-332671.6042970585</v>
      </c>
      <c r="R42" s="86">
        <f>R21+R29</f>
        <v>-308466.090802049</v>
      </c>
      <c r="S42" s="86">
        <f>S21+S29</f>
        <v>-282484.6531849696</v>
      </c>
      <c r="T42" s="86">
        <f>T21+T29</f>
        <v>-255273.384954822</v>
      </c>
      <c r="U42" s="86">
        <f>U21+U29</f>
        <v>-226163.7460489791</v>
      </c>
      <c r="V42" s="86">
        <f>V21+V29</f>
        <v>-195089.4836945259</v>
      </c>
      <c r="W42" s="86">
        <f>W21+W29</f>
        <v>-162836.460421347</v>
      </c>
      <c r="X42" s="86">
        <f>X21+X29</f>
        <v>-128484.1229328027</v>
      </c>
      <c r="Y42" s="86">
        <f>Y21+Y29</f>
        <v>-91961.6305883461</v>
      </c>
      <c r="Z42" s="86">
        <f>Z21+Z29</f>
        <v>-54167.936258643633</v>
      </c>
      <c r="AA42" s="86">
        <f>AA21+AA29</f>
        <v>-14055.054099963338</v>
      </c>
      <c r="AB42" s="86">
        <f>AB21+AB29</f>
        <v>28455.236251559574</v>
      </c>
      <c r="AC42" s="86">
        <f>AC21+AC29</f>
        <v>72348.698029100779</v>
      </c>
      <c r="AD42" s="86">
        <f>AD21+AD29</f>
        <v>118803.5811598807</v>
      </c>
      <c r="AE42" s="86">
        <f>AE21+AE29</f>
        <v>167907.3428774962</v>
      </c>
      <c r="AF42" s="86">
        <f>AF21+AF29</f>
        <v>218288.4981920166</v>
      </c>
      <c r="AG42" s="86">
        <f>AG21+AG29</f>
        <v>271497.1545287261</v>
      </c>
      <c r="AH42" s="86">
        <f>AH21+AH29</f>
        <v>327506.0172833542</v>
      </c>
      <c r="AI42" s="86">
        <f>AI21+AI29</f>
        <v>375544.6474883399</v>
      </c>
      <c r="AJ42" s="86">
        <f>AJ21+AJ29</f>
        <v>426069.3365361576</v>
      </c>
      <c r="AK42" s="86">
        <f>AK21+AK29</f>
        <v>479167.2575947756</v>
      </c>
      <c r="AL42" s="86">
        <f>AL21+AL29</f>
        <v>534926.9624842149</v>
      </c>
      <c r="AM42" s="86">
        <f>AM21+AM29</f>
        <v>593440.5206953953</v>
      </c>
      <c r="AN42" s="86">
        <f>AN21+AN29</f>
        <v>654803.6256163445</v>
      </c>
      <c r="AO42" s="86">
        <f>AO21+AO29</f>
        <v>719115.7230576726</v>
      </c>
      <c r="AP42" s="86">
        <f>AP21+AP29</f>
        <v>786478.1471463547</v>
      </c>
      <c r="AQ42" s="86">
        <f>AQ21+AQ29</f>
        <v>856998.243633932</v>
      </c>
      <c r="AR42" s="86">
        <f>AR21+AR29</f>
        <v>930784.5432172527</v>
      </c>
      <c r="AS42" s="86">
        <f>AS21+AS29</f>
        <v>1007949.842434694</v>
      </c>
      <c r="AT42" s="86">
        <f>AT21+AT29</f>
        <v>1088610.422190514</v>
      </c>
      <c r="AU42" s="86">
        <f>AU21+AU29</f>
        <v>1172889.144012172</v>
      </c>
      <c r="AV42" s="86">
        <f>AV21+AV29</f>
        <v>1260910.654148009</v>
      </c>
      <c r="AW42" s="86">
        <f>AW21+AW29</f>
        <v>1352803.533065249</v>
      </c>
      <c r="AX42" s="86">
        <f>AX21+AX29</f>
        <v>1448702.45789822</v>
      </c>
      <c r="AY42" s="86">
        <f>AY21+AY29</f>
        <v>1548745.405486636</v>
      </c>
      <c r="AZ42" s="86">
        <f>AZ21+AZ29</f>
        <v>1653076.818584211</v>
      </c>
      <c r="BA42" s="86">
        <f>BA21+BA29</f>
        <v>1761845.797833128</v>
      </c>
      <c r="BB42" s="86">
        <f>BB21+BB29</f>
        <v>1875205.31961522</v>
      </c>
    </row>
    <row r="43" s="978" customFormat="1" ht="15" customHeight="1" hidden="1">
      <c r="C43" s="1102">
        <f>C6</f>
        <v>2019</v>
      </c>
      <c r="D43" s="1102">
        <f>D6</f>
        <v>2020</v>
      </c>
      <c r="E43" s="1102">
        <f>E6</f>
        <v>2021</v>
      </c>
      <c r="F43" s="1102">
        <f>F6</f>
        <v>2022</v>
      </c>
      <c r="G43" s="1102">
        <f>G6</f>
        <v>2023</v>
      </c>
      <c r="H43" s="1102">
        <f>H6</f>
        <v>2024</v>
      </c>
      <c r="I43" s="1102">
        <f>I6</f>
        <v>2025</v>
      </c>
      <c r="J43" s="1102">
        <f>J6</f>
        <v>2026</v>
      </c>
      <c r="K43" s="1102">
        <f>K6</f>
        <v>2027</v>
      </c>
      <c r="L43" s="1102">
        <f>L6</f>
        <v>2028</v>
      </c>
      <c r="M43" s="1102">
        <f>M6</f>
        <v>2029</v>
      </c>
      <c r="N43" s="1102">
        <f>N6</f>
        <v>2030</v>
      </c>
      <c r="O43" s="1102">
        <f>O6</f>
        <v>2031</v>
      </c>
      <c r="P43" s="1102">
        <f>P6</f>
        <v>2032</v>
      </c>
      <c r="Q43" s="1102">
        <f>Q6</f>
        <v>2033</v>
      </c>
      <c r="R43" s="1102">
        <f>R6</f>
        <v>2034</v>
      </c>
      <c r="S43" s="1102">
        <f>S6</f>
        <v>2035</v>
      </c>
      <c r="T43" s="1102">
        <f>T6</f>
        <v>2036</v>
      </c>
      <c r="U43" s="1102">
        <f>U6</f>
        <v>2037</v>
      </c>
      <c r="V43" s="1102">
        <f>V6</f>
        <v>2038</v>
      </c>
      <c r="W43" s="1102">
        <f>W6</f>
        <v>2039</v>
      </c>
      <c r="X43" s="1102">
        <f>X6</f>
        <v>2040</v>
      </c>
      <c r="Y43" s="1102">
        <f>Y6</f>
        <v>2041</v>
      </c>
      <c r="Z43" s="1102">
        <f>Z6</f>
        <v>2042</v>
      </c>
      <c r="AA43" s="1102">
        <f>AA6</f>
        <v>2043</v>
      </c>
      <c r="AB43" s="1102">
        <f>AB6</f>
        <v>2044</v>
      </c>
      <c r="AC43" s="1102">
        <f>AC6</f>
        <v>2045</v>
      </c>
      <c r="AD43" s="1102">
        <f>AD6</f>
        <v>2046</v>
      </c>
      <c r="AE43" s="1102">
        <f>AE6</f>
        <v>2047</v>
      </c>
      <c r="AF43" s="1102">
        <f>AF6</f>
        <v>2048</v>
      </c>
      <c r="AG43" s="1102">
        <f>AG6</f>
        <v>2049</v>
      </c>
      <c r="AH43" s="1102">
        <f>AH6</f>
        <v>2050</v>
      </c>
      <c r="AI43" s="1102">
        <f>AI6</f>
        <v>2051</v>
      </c>
      <c r="AJ43" s="1102">
        <f>AJ6</f>
        <v>2052</v>
      </c>
      <c r="AK43" s="1102">
        <f>AK6</f>
        <v>2053</v>
      </c>
      <c r="AL43" s="1102">
        <f>AL6</f>
        <v>2054</v>
      </c>
      <c r="AM43" s="1102">
        <f>AM6</f>
        <v>2055</v>
      </c>
      <c r="AN43" s="1102">
        <f>AN6</f>
        <v>2056</v>
      </c>
      <c r="AO43" s="1102">
        <f>AO6</f>
        <v>2057</v>
      </c>
      <c r="AP43" s="1102">
        <f>AP6</f>
        <v>2058</v>
      </c>
      <c r="AQ43" s="1102">
        <f>AQ6</f>
        <v>2059</v>
      </c>
      <c r="AR43" s="1102">
        <f>AR6</f>
        <v>2060</v>
      </c>
      <c r="AS43" s="1102">
        <f>AS6</f>
        <v>2061</v>
      </c>
      <c r="AT43" s="1102">
        <f>AT6</f>
        <v>2062</v>
      </c>
      <c r="AU43" s="1102">
        <f>AU6</f>
        <v>2063</v>
      </c>
      <c r="AV43" s="1102">
        <f>AV6</f>
        <v>2064</v>
      </c>
      <c r="AW43" s="1102">
        <f>AW6</f>
        <v>2065</v>
      </c>
      <c r="AX43" s="1102">
        <f>AX6</f>
        <v>2066</v>
      </c>
      <c r="AY43" s="1102">
        <f>AY6</f>
        <v>2067</v>
      </c>
      <c r="AZ43" s="1102">
        <f>AZ6</f>
        <v>2068</v>
      </c>
      <c r="BA43" s="1102">
        <f>BA6</f>
        <v>2069</v>
      </c>
      <c r="BB43" s="1102">
        <f>BB6</f>
        <v>2070</v>
      </c>
      <c r="BC43" t="s" s="1103">
        <f>CONCATENATE($BC$53,AR43)</f>
        <v>1053</v>
      </c>
    </row>
    <row r="44" s="58" customFormat="1" ht="15" customHeight="1" hidden="1">
      <c r="C44" s="86">
        <f>C8</f>
        <v>0</v>
      </c>
      <c r="D44" s="86">
        <f>D8</f>
        <v>0</v>
      </c>
      <c r="E44" s="86">
        <f>E8</f>
        <v>1</v>
      </c>
      <c r="F44" s="86">
        <f>F8</f>
        <v>2</v>
      </c>
      <c r="G44" s="86">
        <f>G8</f>
        <v>3</v>
      </c>
      <c r="H44" s="86">
        <f>H8</f>
        <v>4</v>
      </c>
      <c r="I44" s="86">
        <f>I8</f>
        <v>5</v>
      </c>
      <c r="J44" s="86">
        <f>J8</f>
        <v>6</v>
      </c>
      <c r="K44" s="86">
        <f>K8</f>
        <v>7</v>
      </c>
      <c r="L44" s="86">
        <f>L8</f>
        <v>8</v>
      </c>
      <c r="M44" s="86">
        <f>M8</f>
        <v>9</v>
      </c>
      <c r="N44" s="86">
        <f>N8</f>
        <v>10</v>
      </c>
      <c r="O44" s="86">
        <f>O8</f>
        <v>11</v>
      </c>
      <c r="P44" s="86">
        <f>P8</f>
        <v>12</v>
      </c>
      <c r="Q44" s="86">
        <f>Q8</f>
        <v>13</v>
      </c>
      <c r="R44" s="86">
        <f>R8</f>
        <v>14</v>
      </c>
      <c r="S44" s="86">
        <f>S8</f>
        <v>15</v>
      </c>
      <c r="T44" s="86">
        <f>T8</f>
        <v>16</v>
      </c>
      <c r="U44" s="86">
        <f>U8</f>
        <v>17</v>
      </c>
      <c r="V44" s="86">
        <f>V8</f>
        <v>18</v>
      </c>
      <c r="W44" s="86">
        <f>W8</f>
        <v>19</v>
      </c>
      <c r="X44" s="86">
        <f>X8</f>
        <v>20</v>
      </c>
      <c r="Y44" s="86">
        <f>Y8</f>
        <v>21</v>
      </c>
      <c r="Z44" s="86">
        <f>Z8</f>
        <v>22</v>
      </c>
      <c r="AA44" s="86">
        <f>AA8</f>
        <v>23</v>
      </c>
      <c r="AB44" s="86">
        <f>AB8</f>
        <v>24</v>
      </c>
      <c r="AC44" s="86">
        <f>AC8</f>
        <v>25</v>
      </c>
      <c r="AD44" s="86">
        <f>AD8</f>
        <v>26</v>
      </c>
      <c r="AE44" s="86">
        <f>AE8</f>
        <v>27</v>
      </c>
      <c r="AF44" s="86">
        <f>AF8</f>
        <v>28</v>
      </c>
      <c r="AG44" s="86">
        <f>AG8</f>
        <v>29</v>
      </c>
      <c r="AH44" s="86">
        <f>AH8</f>
        <v>30</v>
      </c>
      <c r="AI44" s="86">
        <f>AI8</f>
        <v>31</v>
      </c>
      <c r="AJ44" s="86">
        <f>AJ8</f>
        <v>32</v>
      </c>
      <c r="AK44" s="86">
        <f>AK8</f>
        <v>33</v>
      </c>
      <c r="AL44" s="86">
        <f>AL8</f>
        <v>34</v>
      </c>
      <c r="AM44" s="86">
        <f>AM8</f>
        <v>35</v>
      </c>
      <c r="AN44" s="86">
        <f>AN8</f>
        <v>36</v>
      </c>
      <c r="AO44" s="86">
        <f>AO8</f>
        <v>37</v>
      </c>
      <c r="AP44" s="86">
        <f>AP8</f>
        <v>38</v>
      </c>
      <c r="AQ44" s="86">
        <f>AQ8</f>
        <v>39</v>
      </c>
      <c r="AR44" s="86">
        <f>AR8</f>
        <v>40</v>
      </c>
      <c r="AS44" s="86">
        <f>AS8</f>
        <v>41</v>
      </c>
      <c r="AT44" s="86">
        <f>AT8</f>
        <v>42</v>
      </c>
      <c r="AU44" s="86">
        <f>AU8</f>
        <v>43</v>
      </c>
      <c r="AV44" s="86">
        <f>AV8</f>
        <v>44</v>
      </c>
      <c r="AW44" s="86">
        <f>AW8</f>
        <v>45</v>
      </c>
      <c r="AX44" s="86">
        <f>AX8</f>
        <v>46</v>
      </c>
      <c r="AY44" s="86">
        <f>AY8</f>
        <v>47</v>
      </c>
      <c r="AZ44" s="86">
        <f>AZ8</f>
        <v>48</v>
      </c>
      <c r="BA44" s="86">
        <f>BA8</f>
        <v>49</v>
      </c>
      <c r="BB44" s="86">
        <f>BB8</f>
        <v>50</v>
      </c>
      <c r="BC44" t="s" s="1103">
        <f>CONCATENATE($BC$53,BB44)</f>
        <v>1054</v>
      </c>
    </row>
    <row r="45" s="58" customFormat="1" ht="14.25" customHeight="1" hidden="1">
      <c r="A45" s="1104"/>
      <c r="B45" s="858"/>
      <c r="C45" s="858"/>
      <c r="D45" s="858"/>
      <c r="E45" s="858"/>
      <c r="F45" s="858"/>
      <c r="G45" s="858"/>
      <c r="H45" s="858"/>
      <c r="I45" s="858"/>
      <c r="J45" s="858"/>
      <c r="K45" s="858"/>
      <c r="L45" s="858"/>
      <c r="M45" s="858"/>
      <c r="N45" s="858"/>
      <c r="O45" s="858"/>
      <c r="P45" s="858"/>
      <c r="Q45" s="858"/>
      <c r="R45" s="858"/>
      <c r="S45" s="858"/>
      <c r="T45" s="858"/>
      <c r="U45" s="858"/>
      <c r="V45" s="858"/>
      <c r="W45" s="858"/>
      <c r="X45" s="858"/>
      <c r="Y45" s="858"/>
      <c r="Z45" s="858"/>
      <c r="AA45" s="858"/>
      <c r="AB45" s="858"/>
      <c r="AC45" s="858"/>
      <c r="AD45" s="858"/>
      <c r="AE45" s="858"/>
      <c r="AF45" s="858"/>
      <c r="AG45" s="858"/>
      <c r="AH45" s="858"/>
      <c r="AI45" s="858"/>
      <c r="AJ45" s="858"/>
      <c r="AK45" s="858"/>
      <c r="AL45" s="858"/>
      <c r="AM45" s="858"/>
      <c r="AN45" s="858"/>
      <c r="AO45" s="858"/>
      <c r="AP45" s="858"/>
      <c r="AQ45" s="858"/>
      <c r="AR45" s="858"/>
      <c r="AS45" s="858"/>
      <c r="AT45" s="858"/>
      <c r="AU45" s="858"/>
      <c r="AV45" s="858"/>
      <c r="AW45" s="858"/>
      <c r="AX45" s="858"/>
      <c r="AY45" s="858"/>
      <c r="AZ45" s="858"/>
      <c r="BA45" s="858"/>
      <c r="BB45" s="858"/>
      <c r="BC45" s="858"/>
    </row>
    <row r="46" s="58" customFormat="1" ht="14.25" customHeight="1" hidden="1">
      <c r="A46" s="1104"/>
      <c r="B46" s="858"/>
      <c r="C46" s="858"/>
      <c r="D46" s="858"/>
      <c r="E46" s="858"/>
      <c r="F46" s="858"/>
      <c r="G46" s="858"/>
      <c r="H46" s="858"/>
      <c r="I46" s="858"/>
      <c r="J46" s="858"/>
      <c r="K46" s="858"/>
      <c r="L46" s="858"/>
      <c r="M46" s="858"/>
      <c r="N46" s="858"/>
      <c r="O46" s="858"/>
      <c r="P46" s="858"/>
      <c r="Q46" s="858"/>
      <c r="R46" s="858"/>
      <c r="S46" s="858"/>
      <c r="T46" s="858"/>
      <c r="U46" s="858"/>
      <c r="V46" s="858"/>
      <c r="W46" s="858"/>
      <c r="X46" s="858"/>
      <c r="Y46" s="858"/>
      <c r="Z46" s="858"/>
      <c r="AA46" s="858"/>
      <c r="AB46" s="858"/>
      <c r="AC46" s="858"/>
      <c r="AD46" s="858"/>
      <c r="AE46" s="858"/>
      <c r="AF46" s="858"/>
      <c r="AG46" s="858"/>
      <c r="AH46" s="858"/>
      <c r="AI46" s="858"/>
      <c r="AJ46" s="858"/>
      <c r="AK46" s="858"/>
      <c r="AL46" s="858"/>
      <c r="AM46" s="858"/>
      <c r="AN46" s="858"/>
      <c r="AO46" s="858"/>
      <c r="AP46" s="858"/>
      <c r="AQ46" s="858"/>
      <c r="AR46" s="858"/>
      <c r="AS46" s="858"/>
      <c r="AT46" s="858"/>
      <c r="AU46" s="858"/>
      <c r="AV46" s="858"/>
      <c r="AW46" s="858"/>
      <c r="AX46" s="858"/>
      <c r="AY46" s="858"/>
      <c r="AZ46" s="858"/>
      <c r="BA46" s="858"/>
      <c r="BB46" s="858"/>
      <c r="BC46" s="858"/>
    </row>
    <row r="47" s="58" customFormat="1" ht="15" customHeight="1" hidden="1">
      <c r="E47" s="86">
        <f>IF(E48&lt;0,0,IF(E48&gt;=0,1))</f>
        <v>0</v>
      </c>
      <c r="F47" s="86">
        <f>IF(F48&lt;0,0,IF(F48&gt;=0,1))</f>
        <v>0</v>
      </c>
      <c r="G47" s="86">
        <f>IF(G48&lt;0,0,IF(G48&gt;=0,1))</f>
        <v>0</v>
      </c>
      <c r="H47" s="86">
        <f>IF(H48&lt;0,0,IF(H48&gt;=0,1))</f>
        <v>0</v>
      </c>
      <c r="I47" s="86">
        <f>IF(I48&lt;0,0,IF(I48&gt;=0,1))</f>
        <v>0</v>
      </c>
      <c r="J47" s="86">
        <f>IF(J48&lt;0,0,IF(J48&gt;=0,1))</f>
        <v>0</v>
      </c>
      <c r="K47" s="86">
        <f>IF(K48&lt;0,0,IF(K48&gt;=0,1))</f>
        <v>0</v>
      </c>
      <c r="L47" s="86">
        <f>IF(L48&lt;0,0,IF(L48&gt;=0,1))</f>
        <v>0</v>
      </c>
      <c r="M47" s="86">
        <f>IF(M48&lt;0,0,IF(M48&gt;=0,1))</f>
        <v>0</v>
      </c>
      <c r="N47" s="86">
        <f>IF(N48&lt;0,0,IF(N48&gt;=0,1))</f>
        <v>0</v>
      </c>
      <c r="O47" s="86">
        <f>IF(O48&lt;0,0,IF(O48&gt;=0,1))</f>
        <v>0</v>
      </c>
      <c r="P47" s="86">
        <f>IF(P48&lt;0,0,IF(P48&gt;=0,1))</f>
        <v>0</v>
      </c>
      <c r="Q47" s="86">
        <f>IF(Q48&lt;0,0,IF(Q48&gt;=0,1))</f>
        <v>0</v>
      </c>
      <c r="R47" s="86">
        <f>IF(R48&lt;0,0,IF(R48&gt;=0,1))</f>
        <v>0</v>
      </c>
      <c r="S47" s="86">
        <f>IF(S48&lt;0,0,IF(S48&gt;=0,1))</f>
        <v>0</v>
      </c>
      <c r="T47" s="86">
        <f>IF(T48&lt;0,0,IF(T48&gt;=0,1))</f>
        <v>0</v>
      </c>
      <c r="U47" s="86">
        <f>IF(U48&lt;0,0,IF(U48&gt;=0,1))</f>
        <v>0</v>
      </c>
      <c r="V47" s="86">
        <f>IF(V48&lt;0,0,IF(V48&gt;=0,1))</f>
        <v>0</v>
      </c>
      <c r="W47" s="86">
        <f>IF(W48&lt;0,0,IF(W48&gt;=0,1))</f>
        <v>0</v>
      </c>
      <c r="X47" s="86">
        <f>IF(X48&lt;0,0,IF(X48&gt;=0,1))</f>
        <v>0</v>
      </c>
      <c r="Y47" s="86">
        <f>IF(Y48&lt;0,0,IF(Y48&gt;=0,1))</f>
        <v>0</v>
      </c>
      <c r="Z47" s="86">
        <f>IF(Z48&lt;0,0,IF(Z48&gt;=0,1))</f>
        <v>0</v>
      </c>
      <c r="AA47" s="86">
        <f>IF(AA48&lt;0,0,IF(AA48&gt;=0,1))</f>
        <v>0</v>
      </c>
      <c r="AB47" s="86">
        <f>IF(AB48&lt;0,0,IF(AB48&gt;=0,1))</f>
        <v>1</v>
      </c>
      <c r="AC47" s="86">
        <f>IF(AC48&lt;0,0,IF(AC48&gt;=0,1))</f>
        <v>1</v>
      </c>
      <c r="AD47" s="86">
        <f>IF(AD48&lt;0,0,IF(AD48&gt;=0,1))</f>
        <v>1</v>
      </c>
      <c r="AE47" s="86">
        <f>IF(AE48&lt;0,0,IF(AE48&gt;=0,1))</f>
        <v>1</v>
      </c>
      <c r="AF47" s="86">
        <f>IF(AF48&lt;0,0,IF(AF48&gt;=0,1))</f>
        <v>1</v>
      </c>
      <c r="AG47" s="86">
        <f>IF(AG48&lt;0,0,IF(AG48&gt;=0,1))</f>
        <v>1</v>
      </c>
      <c r="AH47" s="86">
        <f>IF(AH48&lt;0,0,IF(AH48&gt;=0,1))</f>
        <v>1</v>
      </c>
      <c r="AI47" s="86">
        <f>IF(AI48&lt;0,0,IF(AI48&gt;=0,1))</f>
        <v>1</v>
      </c>
      <c r="AJ47" s="86">
        <f>IF(AJ48&lt;0,0,IF(AJ48&gt;=0,1))</f>
        <v>1</v>
      </c>
      <c r="AK47" s="86">
        <f>IF(AK48&lt;0,0,IF(AK48&gt;=0,1))</f>
        <v>1</v>
      </c>
      <c r="AL47" s="86">
        <f>IF(AL48&lt;0,0,IF(AL48&gt;=0,1))</f>
        <v>1</v>
      </c>
      <c r="AM47" s="86">
        <f>IF(AM48&lt;0,0,IF(AM48&gt;=0,1))</f>
        <v>1</v>
      </c>
      <c r="AN47" s="86">
        <f>IF(AN48&lt;0,0,IF(AN48&gt;=0,1))</f>
        <v>1</v>
      </c>
      <c r="AO47" s="86">
        <f>IF(AO48&lt;0,0,IF(AO48&gt;=0,1))</f>
        <v>1</v>
      </c>
      <c r="AP47" s="86">
        <f>IF(AP48&lt;0,0,IF(AP48&gt;=0,1))</f>
        <v>1</v>
      </c>
      <c r="AQ47" s="86">
        <f>IF(AQ48&lt;0,0,IF(AQ48&gt;=0,1))</f>
        <v>1</v>
      </c>
      <c r="AR47" s="86">
        <f>IF(AR48&lt;0,0,IF(AR48&gt;=0,1))</f>
        <v>1</v>
      </c>
      <c r="AS47" s="86">
        <f>IF(AS48&lt;0,0,IF(AS48&gt;=0,1))</f>
        <v>1</v>
      </c>
      <c r="AT47" s="86">
        <f>IF(AT48&lt;0,0,IF(AT48&gt;=0,1))</f>
        <v>1</v>
      </c>
      <c r="AU47" s="86">
        <f>IF(AU48&lt;0,0,IF(AU48&gt;=0,1))</f>
        <v>1</v>
      </c>
      <c r="AV47" s="86">
        <f>IF(AV48&lt;0,0,IF(AV48&gt;=0,1))</f>
        <v>1</v>
      </c>
      <c r="AW47" s="86">
        <f>IF(AW48&lt;0,0,IF(AW48&gt;=0,1))</f>
        <v>1</v>
      </c>
      <c r="AX47" s="86">
        <f>IF(AX48&lt;0,0,IF(AX48&gt;=0,1))</f>
        <v>1</v>
      </c>
      <c r="AY47" s="86">
        <f>IF(AY48&lt;0,0,IF(AY48&gt;=0,1))</f>
        <v>1</v>
      </c>
      <c r="AZ47" s="86">
        <f>IF(AZ48&lt;0,0,IF(AZ48&gt;=0,1))</f>
        <v>1</v>
      </c>
      <c r="BA47" s="86">
        <f>IF(BA48&lt;0,0,IF(BA48&gt;=0,1))</f>
        <v>1</v>
      </c>
      <c r="BB47" s="86">
        <f>IF(BB48&lt;0,0,IF(BB48&gt;=0,1))</f>
        <v>1</v>
      </c>
      <c r="BC47" s="986">
        <v>1</v>
      </c>
    </row>
    <row r="48" s="58" customFormat="1" ht="15" customHeight="1" hidden="1">
      <c r="A48" t="s" s="988">
        <v>1055</v>
      </c>
      <c r="C48" s="86">
        <f>C42</f>
        <v>0</v>
      </c>
      <c r="D48" s="86">
        <f>D42</f>
        <v>-1089718</v>
      </c>
      <c r="E48" s="86">
        <f>E42</f>
        <v>-520544.3090277778</v>
      </c>
      <c r="F48" s="86">
        <f>F42</f>
        <v>-510163.1424979166</v>
      </c>
      <c r="G48" s="86">
        <f>G42</f>
        <v>-498593.6100654062</v>
      </c>
      <c r="H48" s="86">
        <f>H42</f>
        <v>-487743.5276631333</v>
      </c>
      <c r="I48" s="86">
        <f>I42</f>
        <v>-475628.911924821</v>
      </c>
      <c r="J48" s="86">
        <f>J42</f>
        <v>-462204.4560045682</v>
      </c>
      <c r="K48" s="86">
        <f>K42</f>
        <v>-447791.0093251179</v>
      </c>
      <c r="L48" s="86">
        <f>L42</f>
        <v>-431975.8965384986</v>
      </c>
      <c r="M48" s="86">
        <f>M42</f>
        <v>-414709.6711869615</v>
      </c>
      <c r="N48" s="86">
        <f>N42</f>
        <v>-396429.8038286521</v>
      </c>
      <c r="O48" s="86">
        <f>O42</f>
        <v>-376597.8040490865</v>
      </c>
      <c r="P48" s="86">
        <f>P42</f>
        <v>-355160.5515431243</v>
      </c>
      <c r="Q48" s="86">
        <f>Q42</f>
        <v>-332671.6042970585</v>
      </c>
      <c r="R48" s="86">
        <f>R42</f>
        <v>-308466.090802049</v>
      </c>
      <c r="S48" s="86">
        <f>S42</f>
        <v>-282484.6531849696</v>
      </c>
      <c r="T48" s="86">
        <f>T42</f>
        <v>-255273.384954822</v>
      </c>
      <c r="U48" s="86">
        <f>U42</f>
        <v>-226163.7460489791</v>
      </c>
      <c r="V48" s="86">
        <f>V42</f>
        <v>-195089.4836945259</v>
      </c>
      <c r="W48" s="86">
        <f>W42</f>
        <v>-162836.460421347</v>
      </c>
      <c r="X48" s="86">
        <f>X42</f>
        <v>-128484.1229328027</v>
      </c>
      <c r="Y48" s="86">
        <f>Y42</f>
        <v>-91961.6305883461</v>
      </c>
      <c r="Z48" s="86">
        <f>Z42</f>
        <v>-54167.936258643633</v>
      </c>
      <c r="AA48" s="86">
        <f>AA42</f>
        <v>-14055.054099963338</v>
      </c>
      <c r="AB48" s="86">
        <f>AB42</f>
        <v>28455.236251559574</v>
      </c>
      <c r="AC48" s="86">
        <f>AC42</f>
        <v>72348.698029100779</v>
      </c>
      <c r="AD48" s="86">
        <f>AD42</f>
        <v>118803.5811598807</v>
      </c>
      <c r="AE48" s="86">
        <f>AE42</f>
        <v>167907.3428774962</v>
      </c>
      <c r="AF48" s="86">
        <f>AF42</f>
        <v>218288.4981920166</v>
      </c>
      <c r="AG48" s="86">
        <f>AG42</f>
        <v>271497.1545287261</v>
      </c>
      <c r="AH48" s="86">
        <f>AH42</f>
        <v>327506.0172833542</v>
      </c>
      <c r="AI48" s="86">
        <f>AI42</f>
        <v>375544.6474883399</v>
      </c>
      <c r="AJ48" s="86">
        <f>AJ42</f>
        <v>426069.3365361576</v>
      </c>
      <c r="AK48" s="86">
        <f>AK42</f>
        <v>479167.2575947756</v>
      </c>
      <c r="AL48" s="86">
        <f>AL42</f>
        <v>534926.9624842149</v>
      </c>
      <c r="AM48" s="86">
        <f>AM42</f>
        <v>593440.5206953953</v>
      </c>
      <c r="AN48" s="86">
        <f>AN42</f>
        <v>654803.6256163445</v>
      </c>
      <c r="AO48" s="86">
        <f>AO42</f>
        <v>719115.7230576726</v>
      </c>
      <c r="AP48" s="86">
        <f>AP42</f>
        <v>786478.1471463547</v>
      </c>
      <c r="AQ48" s="86">
        <f>AQ42</f>
        <v>856998.243633932</v>
      </c>
      <c r="AR48" s="86">
        <f>AR42</f>
        <v>930784.5432172527</v>
      </c>
      <c r="AS48" s="86">
        <f>AS42</f>
        <v>1007949.842434694</v>
      </c>
      <c r="AT48" s="86">
        <f>AT42</f>
        <v>1088610.422190514</v>
      </c>
      <c r="AU48" s="86">
        <f>AU42</f>
        <v>1172889.144012172</v>
      </c>
      <c r="AV48" s="86">
        <f>AV42</f>
        <v>1260910.654148009</v>
      </c>
      <c r="AW48" s="86">
        <f>AW42</f>
        <v>1352803.533065249</v>
      </c>
      <c r="AX48" s="86">
        <f>AX42</f>
        <v>1448702.45789822</v>
      </c>
      <c r="AY48" s="86">
        <f>AY42</f>
        <v>1548745.405486636</v>
      </c>
      <c r="AZ48" s="86">
        <f>AZ42</f>
        <v>1653076.818584211</v>
      </c>
      <c r="BA48" s="86">
        <f>BA42</f>
        <v>1761845.797833128</v>
      </c>
      <c r="BB48" s="86">
        <f>BB42</f>
        <v>1875205.31961522</v>
      </c>
      <c r="BC48" s="15"/>
    </row>
    <row r="49" s="58" customFormat="1" ht="15" customHeight="1" hidden="1">
      <c r="C49" s="86">
        <f>C43</f>
        <v>2019</v>
      </c>
      <c r="D49" s="86">
        <f>D43</f>
        <v>2020</v>
      </c>
      <c r="E49" s="86">
        <f>E43</f>
        <v>2021</v>
      </c>
      <c r="F49" s="86">
        <f>F43</f>
        <v>2022</v>
      </c>
      <c r="G49" s="86">
        <f>G43</f>
        <v>2023</v>
      </c>
      <c r="H49" s="86">
        <f>H43</f>
        <v>2024</v>
      </c>
      <c r="I49" s="86">
        <f>I43</f>
        <v>2025</v>
      </c>
      <c r="J49" s="86">
        <f>J43</f>
        <v>2026</v>
      </c>
      <c r="K49" s="86">
        <f>K43</f>
        <v>2027</v>
      </c>
      <c r="L49" s="86">
        <f>L43</f>
        <v>2028</v>
      </c>
      <c r="M49" s="86">
        <f>M43</f>
        <v>2029</v>
      </c>
      <c r="N49" s="86">
        <f>N43</f>
        <v>2030</v>
      </c>
      <c r="O49" s="86">
        <f>O43</f>
        <v>2031</v>
      </c>
      <c r="P49" s="86">
        <f>P43</f>
        <v>2032</v>
      </c>
      <c r="Q49" s="86">
        <f>Q43</f>
        <v>2033</v>
      </c>
      <c r="R49" s="86">
        <f>R43</f>
        <v>2034</v>
      </c>
      <c r="S49" s="86">
        <f>S43</f>
        <v>2035</v>
      </c>
      <c r="T49" s="86">
        <f>T43</f>
        <v>2036</v>
      </c>
      <c r="U49" s="86">
        <f>U43</f>
        <v>2037</v>
      </c>
      <c r="V49" s="86">
        <f>V43</f>
        <v>2038</v>
      </c>
      <c r="W49" s="86">
        <f>W43</f>
        <v>2039</v>
      </c>
      <c r="X49" s="86">
        <f>X43</f>
        <v>2040</v>
      </c>
      <c r="Y49" s="86">
        <f>Y43</f>
        <v>2041</v>
      </c>
      <c r="Z49" s="86">
        <f>Z43</f>
        <v>2042</v>
      </c>
      <c r="AA49" s="86">
        <f>AA43</f>
        <v>2043</v>
      </c>
      <c r="AB49" s="86">
        <f>AB43</f>
        <v>2044</v>
      </c>
      <c r="AC49" s="86">
        <f>AC43</f>
        <v>2045</v>
      </c>
      <c r="AD49" s="86">
        <f>AD43</f>
        <v>2046</v>
      </c>
      <c r="AE49" s="86">
        <f>AE43</f>
        <v>2047</v>
      </c>
      <c r="AF49" s="86">
        <f>AF43</f>
        <v>2048</v>
      </c>
      <c r="AG49" s="86">
        <f>AG43</f>
        <v>2049</v>
      </c>
      <c r="AH49" s="86">
        <f>AH43</f>
        <v>2050</v>
      </c>
      <c r="AI49" s="86">
        <f>AI43</f>
        <v>2051</v>
      </c>
      <c r="AJ49" s="86">
        <f>AJ43</f>
        <v>2052</v>
      </c>
      <c r="AK49" s="86">
        <f>AK43</f>
        <v>2053</v>
      </c>
      <c r="AL49" s="86">
        <f>AL43</f>
        <v>2054</v>
      </c>
      <c r="AM49" s="86">
        <f>AM43</f>
        <v>2055</v>
      </c>
      <c r="AN49" s="86">
        <f>AN43</f>
        <v>2056</v>
      </c>
      <c r="AO49" s="86">
        <f>AO43</f>
        <v>2057</v>
      </c>
      <c r="AP49" s="86">
        <f>AP43</f>
        <v>2058</v>
      </c>
      <c r="AQ49" s="86">
        <f>AQ43</f>
        <v>2059</v>
      </c>
      <c r="AR49" s="86">
        <f>AR43</f>
        <v>2060</v>
      </c>
      <c r="AS49" s="86">
        <f>AS43</f>
        <v>2061</v>
      </c>
      <c r="AT49" s="86">
        <f>AT43</f>
        <v>2062</v>
      </c>
      <c r="AU49" s="86">
        <f>AU43</f>
        <v>2063</v>
      </c>
      <c r="AV49" s="86">
        <f>AV43</f>
        <v>2064</v>
      </c>
      <c r="AW49" s="86">
        <f>AW43</f>
        <v>2065</v>
      </c>
      <c r="AX49" s="86">
        <f>AX43</f>
        <v>2066</v>
      </c>
      <c r="AY49" s="86">
        <f>AY43</f>
        <v>2067</v>
      </c>
      <c r="AZ49" s="86">
        <f>AZ43</f>
        <v>2068</v>
      </c>
      <c r="BA49" s="86">
        <f>BA43</f>
        <v>2069</v>
      </c>
      <c r="BB49" s="86">
        <f>BB43</f>
        <v>2070</v>
      </c>
      <c r="BC49" t="s" s="1103">
        <f>CONCATENATE($BC$53,AR49)</f>
        <v>1056</v>
      </c>
    </row>
    <row r="50" s="58" customFormat="1" ht="15" customHeight="1" hidden="1">
      <c r="C50" s="86">
        <f>C44</f>
        <v>0</v>
      </c>
      <c r="D50" s="86">
        <f>D44</f>
        <v>0</v>
      </c>
      <c r="E50" s="86">
        <f>E44</f>
        <v>1</v>
      </c>
      <c r="F50" s="86">
        <f>F44</f>
        <v>2</v>
      </c>
      <c r="G50" s="86">
        <f>G44</f>
        <v>3</v>
      </c>
      <c r="H50" s="86">
        <f>H44</f>
        <v>4</v>
      </c>
      <c r="I50" s="86">
        <f>I44</f>
        <v>5</v>
      </c>
      <c r="J50" s="86">
        <f>J44</f>
        <v>6</v>
      </c>
      <c r="K50" s="86">
        <f>K44</f>
        <v>7</v>
      </c>
      <c r="L50" s="86">
        <f>L44</f>
        <v>8</v>
      </c>
      <c r="M50" s="86">
        <f>M44</f>
        <v>9</v>
      </c>
      <c r="N50" s="86">
        <f>N44</f>
        <v>10</v>
      </c>
      <c r="O50" s="86">
        <f>O44</f>
        <v>11</v>
      </c>
      <c r="P50" s="86">
        <f>P44</f>
        <v>12</v>
      </c>
      <c r="Q50" s="86">
        <f>Q44</f>
        <v>13</v>
      </c>
      <c r="R50" s="86">
        <f>R44</f>
        <v>14</v>
      </c>
      <c r="S50" s="86">
        <f>S44</f>
        <v>15</v>
      </c>
      <c r="T50" s="86">
        <f>T44</f>
        <v>16</v>
      </c>
      <c r="U50" s="86">
        <f>U44</f>
        <v>17</v>
      </c>
      <c r="V50" s="86">
        <f>V44</f>
        <v>18</v>
      </c>
      <c r="W50" s="86">
        <f>W44</f>
        <v>19</v>
      </c>
      <c r="X50" s="86">
        <f>X44</f>
        <v>20</v>
      </c>
      <c r="Y50" s="86">
        <f>Y44</f>
        <v>21</v>
      </c>
      <c r="Z50" s="86">
        <f>Z44</f>
        <v>22</v>
      </c>
      <c r="AA50" s="86">
        <f>AA44</f>
        <v>23</v>
      </c>
      <c r="AB50" s="86">
        <f>AB44</f>
        <v>24</v>
      </c>
      <c r="AC50" s="86">
        <f>AC44</f>
        <v>25</v>
      </c>
      <c r="AD50" s="86">
        <f>AD44</f>
        <v>26</v>
      </c>
      <c r="AE50" s="86">
        <f>AE44</f>
        <v>27</v>
      </c>
      <c r="AF50" s="86">
        <f>AF44</f>
        <v>28</v>
      </c>
      <c r="AG50" s="86">
        <f>AG44</f>
        <v>29</v>
      </c>
      <c r="AH50" s="86">
        <f>AH44</f>
        <v>30</v>
      </c>
      <c r="AI50" s="86">
        <f>AI44</f>
        <v>31</v>
      </c>
      <c r="AJ50" s="86">
        <f>AJ44</f>
        <v>32</v>
      </c>
      <c r="AK50" s="86">
        <f>AK44</f>
        <v>33</v>
      </c>
      <c r="AL50" s="86">
        <f>AL44</f>
        <v>34</v>
      </c>
      <c r="AM50" s="86">
        <f>AM44</f>
        <v>35</v>
      </c>
      <c r="AN50" s="86">
        <f>AN44</f>
        <v>36</v>
      </c>
      <c r="AO50" s="86">
        <f>AO44</f>
        <v>37</v>
      </c>
      <c r="AP50" s="86">
        <f>AP44</f>
        <v>38</v>
      </c>
      <c r="AQ50" s="86">
        <f>AQ44</f>
        <v>39</v>
      </c>
      <c r="AR50" s="86">
        <f>AR44</f>
        <v>40</v>
      </c>
      <c r="AS50" s="86">
        <f>AS44</f>
        <v>41</v>
      </c>
      <c r="AT50" s="86">
        <f>AT44</f>
        <v>42</v>
      </c>
      <c r="AU50" s="86">
        <f>AU44</f>
        <v>43</v>
      </c>
      <c r="AV50" s="86">
        <f>AV44</f>
        <v>44</v>
      </c>
      <c r="AW50" s="86">
        <f>AW44</f>
        <v>45</v>
      </c>
      <c r="AX50" s="86">
        <f>AX44</f>
        <v>46</v>
      </c>
      <c r="AY50" s="86">
        <f>AY44</f>
        <v>47</v>
      </c>
      <c r="AZ50" s="86">
        <f>AZ44</f>
        <v>48</v>
      </c>
      <c r="BA50" s="86">
        <f>BA44</f>
        <v>49</v>
      </c>
      <c r="BB50" s="86">
        <f>BB44</f>
        <v>50</v>
      </c>
      <c r="BC50" t="s" s="1103">
        <f>CONCATENATE($BC$53,BB50)</f>
        <v>1054</v>
      </c>
    </row>
    <row r="53" s="58" customFormat="1" ht="15" customHeight="1" hidden="1">
      <c r="BC53" t="s" s="751">
        <v>1057</v>
      </c>
    </row>
    <row r="400" s="58" customFormat="1" ht="15" customHeight="1" hidden="1">
      <c r="A400" s="727">
        <v>42942</v>
      </c>
    </row>
    <row r="401" s="58" customFormat="1" ht="15" customHeight="1" hidden="1">
      <c r="A401" s="727">
        <v>41421</v>
      </c>
    </row>
    <row r="404" s="58" customFormat="1" ht="15" customHeight="1" hidden="1">
      <c r="A404" s="727">
        <v>41343</v>
      </c>
    </row>
  </sheetData>
  <conditionalFormatting sqref="C11:D13 C17:D21 B22:AF29 AG23:BB29 C30:D30 B31:BB31 B32:AF32 C33:D36 C38:BB38">
    <cfRule type="cellIs" dxfId="2" priority="1" operator="greaterThan" stopIfTrue="1">
      <formula>0</formula>
    </cfRule>
  </conditionalFormatting>
  <pageMargins left="0.75" right="0.75" top="1" bottom="1" header="0.5" footer="0.5"/>
  <pageSetup firstPageNumber="1" fitToHeight="1" fitToWidth="1" scale="60" useFirstPageNumber="0" orientation="landscape" pageOrder="downThenOver"/>
  <headerFooter>
    <oddFooter>&amp;L&amp;"Helvetica,Regular"&amp;12&amp;K000000	&amp;P</oddFooter>
  </headerFooter>
</worksheet>
</file>

<file path=xl/worksheets/sheet3.xml><?xml version="1.0" encoding="utf-8"?>
<worksheet xmlns:r="http://schemas.openxmlformats.org/officeDocument/2006/relationships" xmlns="http://schemas.openxmlformats.org/spreadsheetml/2006/main">
  <dimension ref="A1:BR798"/>
  <sheetViews>
    <sheetView workbookViewId="0" defaultGridColor="0" colorId="16"/>
  </sheetViews>
  <sheetFormatPr defaultColWidth="6.625" defaultRowHeight="0" customHeight="1" outlineLevelRow="0" outlineLevelCol="0"/>
  <cols>
    <col min="1" max="1" width="1.125" style="6" customWidth="1"/>
    <col min="2" max="2" width="41.25" style="6" customWidth="1"/>
    <col min="3" max="3" width="29.875" style="6" customWidth="1"/>
    <col min="4" max="4" width="11.625" style="6" customWidth="1"/>
    <col min="5" max="5" width="2.375" style="6" customWidth="1"/>
    <col min="6" max="6" width="1.75" style="6" customWidth="1"/>
    <col min="7" max="7" width="42" style="6" customWidth="1"/>
    <col min="8" max="8" width="22.875" style="6" customWidth="1"/>
    <col min="9" max="9" width="6.75" style="6" customWidth="1"/>
    <col min="10" max="10" hidden="1" width="6.625" style="6" customWidth="1"/>
    <col min="11" max="11" hidden="1" width="6.625" style="6" customWidth="1"/>
    <col min="12" max="12" hidden="1" width="6.625" style="6" customWidth="1"/>
    <col min="13" max="13" hidden="1" width="6.625" style="6" customWidth="1"/>
    <col min="14" max="14" hidden="1" width="6.625" style="6" customWidth="1"/>
    <col min="15" max="15" hidden="1" width="6.625" style="6" customWidth="1"/>
    <col min="16" max="16" hidden="1" width="6.625" style="6" customWidth="1"/>
    <col min="17" max="17" hidden="1" width="6.625" style="6" customWidth="1"/>
    <col min="18" max="18" hidden="1" width="6.625" style="6" customWidth="1"/>
    <col min="19" max="19" hidden="1" width="6.625" style="6" customWidth="1"/>
    <col min="20" max="20" hidden="1" width="6.625" style="6" customWidth="1"/>
    <col min="21" max="21" hidden="1" width="6.625" style="6" customWidth="1"/>
    <col min="22" max="22" hidden="1" width="6.625" style="6" customWidth="1"/>
    <col min="23" max="23" hidden="1" width="6.625" style="6" customWidth="1"/>
    <col min="24" max="24" hidden="1" width="6.625" style="6" customWidth="1"/>
    <col min="25" max="25" hidden="1" width="6.625" style="6" customWidth="1"/>
    <col min="26" max="26" hidden="1" width="6.625" style="6" customWidth="1"/>
    <col min="27" max="27" hidden="1" width="6.625" style="6" customWidth="1"/>
    <col min="28" max="28" hidden="1" width="6.625" style="6" customWidth="1"/>
    <col min="29" max="29" hidden="1" width="6.625" style="6" customWidth="1"/>
    <col min="30" max="30" hidden="1" width="6.625" style="6" customWidth="1"/>
    <col min="31" max="31" hidden="1" width="6.625" style="6" customWidth="1"/>
    <col min="32" max="32" hidden="1" width="6.625" style="6" customWidth="1"/>
    <col min="33" max="33" hidden="1" width="6.625" style="6" customWidth="1"/>
    <col min="34" max="34" hidden="1" width="6.625" style="6" customWidth="1"/>
    <col min="35" max="35" hidden="1" width="6.625" style="6" customWidth="1"/>
    <col min="36" max="36" hidden="1" width="6.625" style="6" customWidth="1"/>
    <col min="37" max="37" hidden="1" width="6.625" style="6" customWidth="1"/>
    <col min="38" max="38" hidden="1" width="6.625" style="6" customWidth="1"/>
    <col min="39" max="39" hidden="1" width="6.625" style="6" customWidth="1"/>
    <col min="40" max="40" hidden="1" width="6.625" style="6" customWidth="1"/>
    <col min="41" max="41" hidden="1" width="6.625" style="6" customWidth="1"/>
    <col min="42" max="42" hidden="1" width="6.625" style="6" customWidth="1"/>
    <col min="43" max="43" hidden="1" width="6.625" style="6" customWidth="1"/>
    <col min="44" max="44" hidden="1" width="6.625" style="6" customWidth="1"/>
    <col min="45" max="45" hidden="1" width="6.625" style="6" customWidth="1"/>
    <col min="46" max="46" hidden="1" width="6.625" style="6" customWidth="1"/>
    <col min="47" max="47" hidden="1" width="6.625" style="6" customWidth="1"/>
    <col min="48" max="48" hidden="1" width="6.625" style="6" customWidth="1"/>
    <col min="49" max="49" hidden="1" width="6.625" style="6" customWidth="1"/>
    <col min="50" max="50" hidden="1" width="6.625" style="6" customWidth="1"/>
    <col min="51" max="51" hidden="1" width="6.625" style="6" customWidth="1"/>
    <col min="52" max="52" hidden="1" width="6.625" style="6" customWidth="1"/>
    <col min="53" max="53" hidden="1" width="6.625" style="6" customWidth="1"/>
    <col min="54" max="54" hidden="1" width="6.625" style="6" customWidth="1"/>
    <col min="55" max="55" hidden="1" width="6.625" style="6" customWidth="1"/>
    <col min="56" max="56" hidden="1" width="6.625" style="6" customWidth="1"/>
    <col min="57" max="57" hidden="1" width="6.625" style="6" customWidth="1"/>
    <col min="58" max="58" hidden="1" width="6.625" style="6" customWidth="1"/>
    <col min="59" max="59" hidden="1" width="6.625" style="6" customWidth="1"/>
    <col min="60" max="60" hidden="1" width="6.625" style="6" customWidth="1"/>
    <col min="61" max="61" hidden="1" width="6.625" style="6" customWidth="1"/>
    <col min="62" max="62" hidden="1" width="6.625" style="6" customWidth="1"/>
    <col min="63" max="63" hidden="1" width="6.625" style="6" customWidth="1"/>
    <col min="64" max="64" hidden="1" width="6.625" style="6" customWidth="1"/>
    <col min="65" max="65" hidden="1" width="6.625" style="6" customWidth="1"/>
    <col min="66" max="66" hidden="1" width="6.625" style="6" customWidth="1"/>
    <col min="67" max="67" hidden="1" width="6.625" style="6" customWidth="1"/>
    <col min="68" max="68" hidden="1" width="6.625" style="6" customWidth="1"/>
    <col min="69" max="69" hidden="1" width="6.625" style="6" customWidth="1"/>
    <col min="70" max="70" hidden="1" width="6.625" style="6" customWidth="1"/>
    <col min="71" max="256" width="6.625" style="42" customWidth="1"/>
  </cols>
  <sheetData>
    <row r="1" s="43" customFormat="1" ht="20.25" customHeight="1">
      <c r="A1" s="44"/>
      <c r="B1" t="s" s="45">
        <v>50</v>
      </c>
      <c r="C1" s="46"/>
      <c r="D1" s="47"/>
      <c r="E1" s="47"/>
      <c r="F1" s="47"/>
      <c r="G1" s="48"/>
      <c r="H1" s="10"/>
      <c r="I1" s="47"/>
      <c r="J1" s="47"/>
      <c r="K1" s="47"/>
      <c r="L1" s="47"/>
      <c r="Y1" t="s" s="49">
        <v>51</v>
      </c>
      <c r="AA1" t="s" s="50">
        <v>52</v>
      </c>
      <c r="AB1" t="s" s="50">
        <v>53</v>
      </c>
      <c r="AC1" t="s" s="50">
        <v>54</v>
      </c>
      <c r="AD1" t="s" s="50">
        <v>55</v>
      </c>
    </row>
    <row r="2" s="43" customFormat="1" ht="20.25" customHeight="1">
      <c r="A2" s="51"/>
      <c r="B2" s="52"/>
      <c r="C2" s="53"/>
      <c r="D2" s="54"/>
      <c r="E2" s="55"/>
      <c r="F2" s="55"/>
      <c r="G2" s="56"/>
      <c r="H2" s="12"/>
      <c r="I2" s="55"/>
      <c r="J2" s="55"/>
      <c r="K2" s="55"/>
      <c r="L2" s="55"/>
      <c r="AA2" s="57"/>
      <c r="AB2" s="57"/>
      <c r="AC2" s="57"/>
      <c r="AD2" s="57"/>
    </row>
    <row r="3" s="58" customFormat="1" ht="15.75" customHeight="1">
      <c r="B3" t="s" s="59">
        <v>56</v>
      </c>
      <c r="C3" s="60"/>
      <c r="D3" s="61"/>
      <c r="G3" s="56"/>
      <c r="H3" s="56"/>
      <c r="Y3" t="s" s="62">
        <v>57</v>
      </c>
      <c r="AA3" s="63"/>
    </row>
    <row r="4" s="58" customFormat="1" ht="15" customHeight="1">
      <c r="B4" t="s" s="64">
        <v>58</v>
      </c>
      <c r="C4" s="65"/>
      <c r="D4" s="66"/>
      <c r="G4" s="67"/>
      <c r="H4" s="56"/>
      <c r="Y4" t="s" s="62">
        <v>59</v>
      </c>
      <c r="AA4" s="63"/>
    </row>
    <row r="5" s="58" customFormat="1" ht="15" customHeight="1">
      <c r="B5" t="s" s="68">
        <v>60</v>
      </c>
      <c r="C5" s="69"/>
      <c r="D5" s="70"/>
      <c r="Y5" t="s" s="62">
        <v>61</v>
      </c>
      <c r="AA5" s="63"/>
    </row>
    <row r="6" s="58" customFormat="1" ht="15" customHeight="1">
      <c r="B6" t="s" s="71">
        <v>62</v>
      </c>
      <c r="C6" s="72"/>
      <c r="D6" s="73"/>
      <c r="Y6" t="s" s="62">
        <v>63</v>
      </c>
      <c r="AA6" s="63"/>
    </row>
    <row r="7" s="58" customFormat="1" ht="15" customHeight="1">
      <c r="B7" t="s" s="74">
        <v>64</v>
      </c>
      <c r="C7" s="75"/>
      <c r="D7" s="76"/>
      <c r="G7" s="77"/>
      <c r="Y7" t="s" s="62">
        <v>65</v>
      </c>
      <c r="AA7" t="s" s="78">
        <v>66</v>
      </c>
    </row>
    <row r="8" s="58" customFormat="1" ht="15" customHeight="1">
      <c r="B8" s="79"/>
      <c r="C8" s="80"/>
      <c r="D8" s="80"/>
      <c r="Y8" t="s" s="62">
        <v>67</v>
      </c>
      <c r="AA8" t="s" s="81">
        <v>68</v>
      </c>
    </row>
    <row r="9" s="58" customFormat="1" ht="18" customHeight="1">
      <c r="A9" s="82"/>
      <c r="B9" t="s" s="7">
        <v>69</v>
      </c>
      <c r="C9" s="83"/>
      <c r="D9" s="84"/>
      <c r="E9" s="85"/>
      <c r="F9" s="85"/>
      <c r="G9" t="s" s="7">
        <v>70</v>
      </c>
      <c r="H9" s="83"/>
      <c r="I9" s="86"/>
      <c r="J9" s="86"/>
      <c r="K9" s="86"/>
      <c r="L9" s="87"/>
      <c r="M9" s="56"/>
      <c r="U9" s="62">
        <v>1</v>
      </c>
      <c r="W9" t="s" s="62">
        <v>9</v>
      </c>
      <c r="Y9" t="s" s="62">
        <v>71</v>
      </c>
      <c r="AA9" t="s" s="88">
        <v>72</v>
      </c>
      <c r="AB9" t="s" s="89">
        <v>46</v>
      </c>
      <c r="AC9" t="s" s="62">
        <v>73</v>
      </c>
      <c r="AD9" t="s" s="90">
        <v>74</v>
      </c>
      <c r="AF9" s="91">
        <f>C25</f>
        <v>43922</v>
      </c>
      <c r="AG9" s="91">
        <f>AF9+31</f>
        <v>43953</v>
      </c>
      <c r="AH9" s="91">
        <f>AG9+31</f>
        <v>43984</v>
      </c>
      <c r="AI9" s="91">
        <f>AH9+31</f>
        <v>44015</v>
      </c>
      <c r="AJ9" s="91">
        <f>AI9+31</f>
        <v>44046</v>
      </c>
      <c r="AK9" s="91">
        <f>AJ9+31</f>
        <v>44077</v>
      </c>
      <c r="AL9" s="91">
        <f>AK9+31</f>
        <v>44108</v>
      </c>
      <c r="AM9" s="91">
        <f>AL9+31</f>
        <v>44139</v>
      </c>
      <c r="AN9" s="91">
        <f>AM9+31</f>
        <v>44170</v>
      </c>
      <c r="AO9" s="91">
        <f>AN9+31</f>
        <v>44201</v>
      </c>
      <c r="AP9" s="91">
        <f>AO9+31</f>
        <v>44232</v>
      </c>
      <c r="AQ9" s="91">
        <f>AP9+31</f>
        <v>44263</v>
      </c>
      <c r="AR9" s="91">
        <f>AQ9+31</f>
        <v>44294</v>
      </c>
      <c r="AS9" s="91">
        <f>AR9+31</f>
        <v>44325</v>
      </c>
      <c r="AT9" s="91">
        <f>AS9+31</f>
        <v>44356</v>
      </c>
      <c r="AU9" s="91">
        <f>AT9+31</f>
        <v>44387</v>
      </c>
      <c r="AV9" s="91">
        <f>AU9+31</f>
        <v>44418</v>
      </c>
      <c r="AW9" s="91">
        <f>AV9+31</f>
        <v>44449</v>
      </c>
      <c r="AX9" s="91">
        <f>AW9+31</f>
        <v>44480</v>
      </c>
      <c r="AY9" s="91">
        <f>AX9+31</f>
        <v>44511</v>
      </c>
      <c r="AZ9" s="91">
        <f>AY9+31</f>
        <v>44542</v>
      </c>
      <c r="BA9" s="91">
        <f>AZ9+31</f>
        <v>44573</v>
      </c>
      <c r="BB9" s="91">
        <f>BA9+31</f>
        <v>44604</v>
      </c>
      <c r="BC9" s="91">
        <f>BB9+31</f>
        <v>44635</v>
      </c>
      <c r="BD9" s="91">
        <f>BC9+31</f>
        <v>44666</v>
      </c>
      <c r="BE9" s="91">
        <f>BD9+31</f>
        <v>44697</v>
      </c>
      <c r="BF9" s="91">
        <f>BE9+31</f>
        <v>44728</v>
      </c>
      <c r="BG9" s="91">
        <f>BF9+31</f>
        <v>44759</v>
      </c>
      <c r="BH9" s="91">
        <f>BG9+31</f>
        <v>44790</v>
      </c>
      <c r="BI9" s="91">
        <f>BH9+31</f>
        <v>44821</v>
      </c>
      <c r="BJ9" s="91">
        <f>BI9+31</f>
        <v>44852</v>
      </c>
      <c r="BK9" s="91">
        <f>BJ9+31</f>
        <v>44883</v>
      </c>
      <c r="BL9" s="91">
        <f>BK9+31</f>
        <v>44914</v>
      </c>
      <c r="BM9" s="91">
        <f>BL9+31</f>
        <v>44945</v>
      </c>
      <c r="BN9" s="91">
        <f>BM9+31</f>
        <v>44976</v>
      </c>
      <c r="BO9" s="91">
        <f>BN9+31</f>
        <v>45007</v>
      </c>
      <c r="BP9" s="91">
        <f>BO9+31</f>
        <v>45038</v>
      </c>
      <c r="BR9" t="s" s="92">
        <v>75</v>
      </c>
    </row>
    <row r="10" s="58" customFormat="1" ht="15.75" customHeight="1">
      <c r="A10" s="82"/>
      <c r="B10" t="s" s="93">
        <v>76</v>
      </c>
      <c r="C10" t="s" s="94">
        <v>77</v>
      </c>
      <c r="D10" t="s" s="95">
        <v>78</v>
      </c>
      <c r="E10" s="86"/>
      <c r="F10" s="86"/>
      <c r="G10" t="s" s="96">
        <v>79</v>
      </c>
      <c r="H10" s="97"/>
      <c r="I10" t="s" s="98">
        <v>78</v>
      </c>
      <c r="J10" s="86"/>
      <c r="K10" s="86"/>
      <c r="L10" s="86"/>
      <c r="M10" s="56"/>
      <c r="U10" s="62">
        <v>2</v>
      </c>
      <c r="W10" t="s" s="62">
        <v>10</v>
      </c>
      <c r="Y10" t="s" s="62">
        <v>80</v>
      </c>
      <c r="AA10" t="s" s="88">
        <v>81</v>
      </c>
      <c r="AB10" t="s" s="89">
        <v>82</v>
      </c>
      <c r="AC10" t="s" s="62">
        <v>83</v>
      </c>
      <c r="AD10" t="s" s="90">
        <v>84</v>
      </c>
      <c r="AF10" s="91"/>
      <c r="BR10" t="s" s="92">
        <v>85</v>
      </c>
    </row>
    <row r="11" s="58" customFormat="1" ht="15.75" customHeight="1">
      <c r="A11" s="82"/>
      <c r="B11" t="s" s="93">
        <v>86</v>
      </c>
      <c r="C11" s="99"/>
      <c r="D11" s="100"/>
      <c r="E11" s="86"/>
      <c r="F11" s="86"/>
      <c r="G11" s="101"/>
      <c r="H11" s="102"/>
      <c r="I11" s="86"/>
      <c r="J11" s="86"/>
      <c r="K11" s="86"/>
      <c r="L11" s="86"/>
      <c r="M11" s="56"/>
      <c r="U11" s="62">
        <v>3</v>
      </c>
      <c r="Y11" t="s" s="62">
        <v>87</v>
      </c>
      <c r="AA11" t="s" s="88">
        <v>88</v>
      </c>
      <c r="AB11" t="s" s="89">
        <v>89</v>
      </c>
      <c r="AC11" t="s" s="62">
        <v>90</v>
      </c>
      <c r="AD11" t="s" s="62">
        <v>91</v>
      </c>
      <c r="AF11" s="91"/>
    </row>
    <row r="12" s="58" customFormat="1" ht="15" customHeight="1">
      <c r="A12" s="82"/>
      <c r="B12" s="103"/>
      <c r="C12" s="104"/>
      <c r="D12" s="105"/>
      <c r="E12" s="86"/>
      <c r="F12" s="86"/>
      <c r="G12" t="s" s="96">
        <v>92</v>
      </c>
      <c r="H12" s="97"/>
      <c r="I12" s="106"/>
      <c r="J12" s="86"/>
      <c r="K12" s="86"/>
      <c r="L12" s="86"/>
      <c r="M12" s="56"/>
      <c r="U12" s="62">
        <v>4</v>
      </c>
      <c r="Y12" s="56"/>
      <c r="AA12" t="s" s="88">
        <v>93</v>
      </c>
      <c r="AB12" t="s" s="89">
        <v>94</v>
      </c>
      <c r="AC12" t="s" s="62">
        <v>95</v>
      </c>
      <c r="AF12" s="91"/>
    </row>
    <row r="13" s="58" customFormat="1" ht="15" customHeight="1">
      <c r="A13" s="82"/>
      <c r="B13" t="s" s="93">
        <v>96</v>
      </c>
      <c r="C13" t="s" s="94">
        <v>74</v>
      </c>
      <c r="D13" t="s" s="98">
        <v>78</v>
      </c>
      <c r="E13" s="86"/>
      <c r="F13" s="86"/>
      <c r="G13" s="101"/>
      <c r="H13" s="107"/>
      <c r="I13" s="86"/>
      <c r="J13" s="86"/>
      <c r="K13" s="86"/>
      <c r="L13" s="86"/>
      <c r="M13" s="56"/>
      <c r="U13" s="62">
        <v>5</v>
      </c>
      <c r="Y13" s="56"/>
      <c r="AA13" t="s" s="81">
        <v>97</v>
      </c>
      <c r="AB13" t="s" s="89">
        <v>98</v>
      </c>
      <c r="AC13" t="s" s="62">
        <v>99</v>
      </c>
      <c r="AF13" s="91"/>
    </row>
    <row r="14" s="58" customFormat="1" ht="15" customHeight="1">
      <c r="A14" s="82"/>
      <c r="B14" s="56"/>
      <c r="C14" s="80"/>
      <c r="D14" s="86"/>
      <c r="E14" s="86"/>
      <c r="F14" s="86"/>
      <c r="G14" s="56"/>
      <c r="H14" s="56"/>
      <c r="I14" s="86"/>
      <c r="J14" s="86"/>
      <c r="K14" s="86"/>
      <c r="L14" s="86"/>
      <c r="M14" s="56"/>
      <c r="U14" s="62">
        <v>6</v>
      </c>
      <c r="AA14" t="s" s="81">
        <v>100</v>
      </c>
      <c r="AB14" t="s" s="89">
        <v>49</v>
      </c>
      <c r="AC14" t="s" s="62">
        <v>101</v>
      </c>
      <c r="AD14" s="108"/>
      <c r="AF14" s="91"/>
    </row>
    <row r="15" s="58" customFormat="1" ht="15" customHeight="1">
      <c r="A15" s="82"/>
      <c r="B15" t="s" s="109">
        <v>102</v>
      </c>
      <c r="C15" s="110"/>
      <c r="D15" t="s" s="111">
        <v>103</v>
      </c>
      <c r="E15" s="86"/>
      <c r="F15" s="86"/>
      <c r="G15" s="56"/>
      <c r="H15" t="s" s="112">
        <f>IF(H14="NO","A Bid Gateway will have to be completed for the project to progress through Approval.","")</f>
      </c>
      <c r="I15" s="86"/>
      <c r="J15" s="86"/>
      <c r="K15" s="86"/>
      <c r="L15" s="86"/>
      <c r="M15" s="56"/>
      <c r="U15" s="62">
        <v>7</v>
      </c>
      <c r="AA15" t="s" s="88">
        <v>104</v>
      </c>
      <c r="AB15" t="s" s="89">
        <v>105</v>
      </c>
      <c r="AC15" t="s" s="62">
        <v>106</v>
      </c>
      <c r="AD15" s="113"/>
      <c r="AF15" s="91"/>
    </row>
    <row r="16" s="58" customFormat="1" ht="15" customHeight="1">
      <c r="A16" s="82"/>
      <c r="B16" t="s" s="93">
        <v>107</v>
      </c>
      <c r="C16" t="s" s="94">
        <v>108</v>
      </c>
      <c r="D16" s="97">
        <v>5</v>
      </c>
      <c r="E16" t="s" s="98">
        <v>78</v>
      </c>
      <c r="F16" s="86"/>
      <c r="G16" t="s" s="114">
        <v>109</v>
      </c>
      <c r="H16" s="115"/>
      <c r="I16" t="s" s="98">
        <v>78</v>
      </c>
      <c r="J16" s="86"/>
      <c r="K16" s="86"/>
      <c r="L16" s="86"/>
      <c r="M16" s="56"/>
      <c r="U16" s="62">
        <v>8</v>
      </c>
      <c r="AA16" t="s" s="88">
        <v>110</v>
      </c>
      <c r="AC16" t="s" s="62">
        <v>111</v>
      </c>
      <c r="AD16" s="113"/>
      <c r="AF16" s="91"/>
    </row>
    <row r="17" s="58" customFormat="1" ht="15" customHeight="1">
      <c r="A17" s="82"/>
      <c r="B17" t="s" s="93">
        <v>112</v>
      </c>
      <c r="C17" t="s" s="94">
        <v>113</v>
      </c>
      <c r="D17" s="97">
        <v>3</v>
      </c>
      <c r="E17" t="s" s="98">
        <v>78</v>
      </c>
      <c r="F17" s="86"/>
      <c r="G17" s="56"/>
      <c r="H17" s="75"/>
      <c r="I17" s="86"/>
      <c r="J17" s="86"/>
      <c r="K17" s="86"/>
      <c r="L17" s="86"/>
      <c r="M17" s="56"/>
      <c r="U17" s="62">
        <v>9</v>
      </c>
      <c r="AA17" t="s" s="88">
        <v>114</v>
      </c>
      <c r="AB17" s="116"/>
      <c r="AC17" t="s" s="62">
        <v>115</v>
      </c>
      <c r="AD17" s="113"/>
      <c r="AF17" s="91"/>
    </row>
    <row r="18" s="58" customFormat="1" ht="15" customHeight="1">
      <c r="A18" s="82"/>
      <c r="B18" t="s" s="93">
        <v>116</v>
      </c>
      <c r="C18" s="104"/>
      <c r="D18" s="97"/>
      <c r="E18" t="s" s="98">
        <v>78</v>
      </c>
      <c r="F18" s="86"/>
      <c r="G18" t="s" s="114">
        <v>117</v>
      </c>
      <c r="H18" s="115"/>
      <c r="I18" s="106"/>
      <c r="J18" s="86"/>
      <c r="K18" s="86"/>
      <c r="L18" s="86"/>
      <c r="M18" s="56"/>
      <c r="U18" s="62">
        <v>10</v>
      </c>
      <c r="AA18" t="s" s="88">
        <v>118</v>
      </c>
      <c r="AB18" s="116"/>
      <c r="AC18" t="s" s="62">
        <v>119</v>
      </c>
      <c r="AD18" s="56"/>
      <c r="AF18" s="91"/>
    </row>
    <row r="19" s="58" customFormat="1" ht="15" customHeight="1">
      <c r="A19" s="82"/>
      <c r="B19" t="s" s="93">
        <v>120</v>
      </c>
      <c r="C19" s="104"/>
      <c r="D19" s="97"/>
      <c r="E19" t="s" s="98">
        <v>78</v>
      </c>
      <c r="F19" s="86"/>
      <c r="G19" s="56"/>
      <c r="H19" s="75"/>
      <c r="I19" s="86"/>
      <c r="J19" s="86"/>
      <c r="K19" s="86"/>
      <c r="L19" s="86"/>
      <c r="M19" s="56"/>
      <c r="U19" s="62">
        <v>11</v>
      </c>
      <c r="AA19" t="s" s="88">
        <v>121</v>
      </c>
      <c r="AB19" s="116"/>
      <c r="AC19" t="s" s="62">
        <v>122</v>
      </c>
      <c r="AD19" s="56"/>
      <c r="AF19" s="91"/>
    </row>
    <row r="20" s="58" customFormat="1" ht="15" customHeight="1">
      <c r="A20" s="82"/>
      <c r="B20" t="s" s="93">
        <v>123</v>
      </c>
      <c r="C20" s="104"/>
      <c r="D20" s="97"/>
      <c r="E20" t="s" s="98">
        <v>78</v>
      </c>
      <c r="F20" s="86"/>
      <c r="G20" t="s" s="96">
        <v>124</v>
      </c>
      <c r="H20" s="117"/>
      <c r="I20" s="106"/>
      <c r="J20" s="86"/>
      <c r="K20" s="86"/>
      <c r="L20" s="86"/>
      <c r="M20" s="56"/>
      <c r="U20" s="62">
        <v>12</v>
      </c>
      <c r="AA20" t="s" s="88">
        <v>125</v>
      </c>
      <c r="AC20" t="s" s="62">
        <v>126</v>
      </c>
      <c r="AF20" s="91"/>
    </row>
    <row r="21" s="58" customFormat="1" ht="15" customHeight="1">
      <c r="A21" s="82"/>
      <c r="B21" t="s" s="93">
        <v>127</v>
      </c>
      <c r="C21" s="104"/>
      <c r="D21" s="97"/>
      <c r="E21" t="s" s="98">
        <v>78</v>
      </c>
      <c r="F21" s="86"/>
      <c r="G21" s="86"/>
      <c r="H21" s="118"/>
      <c r="I21" s="86"/>
      <c r="J21" s="86"/>
      <c r="K21" s="86"/>
      <c r="L21" s="86"/>
      <c r="M21" s="56"/>
      <c r="U21" s="62">
        <v>13</v>
      </c>
      <c r="AA21" t="s" s="88">
        <v>128</v>
      </c>
      <c r="AC21" t="s" s="62">
        <v>129</v>
      </c>
      <c r="AF21" s="91"/>
    </row>
    <row r="22" s="58" customFormat="1" ht="15" customHeight="1">
      <c r="A22" s="82"/>
      <c r="B22" t="s" s="93">
        <v>130</v>
      </c>
      <c r="C22" s="104"/>
      <c r="D22" s="97"/>
      <c r="E22" t="s" s="98">
        <v>78</v>
      </c>
      <c r="F22" s="86"/>
      <c r="G22" t="s" s="96">
        <v>131</v>
      </c>
      <c r="H22" t="s" s="119">
        <v>75</v>
      </c>
      <c r="I22" s="106"/>
      <c r="J22" s="86"/>
      <c r="K22" s="86"/>
      <c r="L22" s="86"/>
      <c r="M22" s="56"/>
      <c r="U22" s="62">
        <v>14</v>
      </c>
      <c r="AA22" t="s" s="88">
        <v>132</v>
      </c>
      <c r="AC22" t="s" s="62">
        <v>133</v>
      </c>
    </row>
    <row r="23" s="58" customFormat="1" ht="15" customHeight="1">
      <c r="A23" s="82"/>
      <c r="D23" s="120">
        <f>SUM(D16:D22)</f>
        <v>8</v>
      </c>
      <c r="E23" s="86"/>
      <c r="G23" t="s" s="96">
        <v>134</v>
      </c>
      <c r="H23" s="121">
        <v>0.125</v>
      </c>
      <c r="I23" s="116"/>
      <c r="J23" s="86"/>
      <c r="K23" s="86"/>
      <c r="L23" s="86"/>
      <c r="M23" s="56"/>
      <c r="U23" s="62">
        <v>15</v>
      </c>
      <c r="AA23" t="s" s="88">
        <v>135</v>
      </c>
      <c r="AC23" t="s" s="62">
        <v>136</v>
      </c>
    </row>
    <row r="24" s="58" customFormat="1" ht="18" customHeight="1">
      <c r="A24" s="122"/>
      <c r="B24" t="s" s="123">
        <v>137</v>
      </c>
      <c r="C24" s="124"/>
      <c r="D24" s="125"/>
      <c r="E24" s="126"/>
      <c r="F24" s="127"/>
      <c r="G24" s="56"/>
      <c r="H24" s="128"/>
      <c r="I24" s="56"/>
      <c r="J24" s="86"/>
      <c r="K24" s="86"/>
      <c r="L24" s="86"/>
      <c r="M24" s="56"/>
      <c r="U24" s="62">
        <v>16</v>
      </c>
      <c r="AA24" t="s" s="88">
        <v>138</v>
      </c>
      <c r="AC24" t="s" s="62">
        <v>139</v>
      </c>
    </row>
    <row r="25" s="58" customFormat="1" ht="18" customHeight="1">
      <c r="A25" s="122"/>
      <c r="B25" t="s" s="129">
        <v>140</v>
      </c>
      <c r="C25" s="130">
        <v>43922</v>
      </c>
      <c r="D25" s="131">
        <f>YEAR(C25)</f>
        <v>2020</v>
      </c>
      <c r="E25" s="132"/>
      <c r="F25" t="s" s="7">
        <v>141</v>
      </c>
      <c r="G25" s="56"/>
      <c r="H25" s="133"/>
      <c r="I25" s="56"/>
      <c r="J25" s="56"/>
      <c r="K25" s="56"/>
      <c r="L25" s="86"/>
      <c r="M25" s="56"/>
      <c r="U25" s="62">
        <v>17</v>
      </c>
      <c r="AA25" t="s" s="88">
        <v>142</v>
      </c>
      <c r="AC25" t="s" s="62">
        <v>143</v>
      </c>
    </row>
    <row r="26" s="58" customFormat="1" ht="15" customHeight="1">
      <c r="A26" s="122"/>
      <c r="B26" t="s" s="129">
        <v>144</v>
      </c>
      <c r="C26" s="134">
        <v>43952</v>
      </c>
      <c r="D26" t="s" s="131">
        <v>78</v>
      </c>
      <c r="E26" s="132"/>
      <c r="F26" t="s" s="135">
        <v>145</v>
      </c>
      <c r="G26" s="136"/>
      <c r="H26" s="137">
        <v>0.075</v>
      </c>
      <c r="I26" t="s" s="89">
        <v>78</v>
      </c>
      <c r="J26" s="56"/>
      <c r="K26" s="56"/>
      <c r="L26" s="86"/>
      <c r="M26" s="56"/>
      <c r="U26" s="62">
        <v>18</v>
      </c>
      <c r="AA26" t="s" s="88">
        <v>146</v>
      </c>
      <c r="AC26" t="s" s="62">
        <v>147</v>
      </c>
    </row>
    <row r="27" s="58" customFormat="1" ht="15" customHeight="1">
      <c r="A27" s="122"/>
      <c r="B27" t="s" s="129">
        <v>148</v>
      </c>
      <c r="C27" s="134">
        <v>43983</v>
      </c>
      <c r="D27" t="s" s="131">
        <v>78</v>
      </c>
      <c r="F27" t="s" s="135">
        <v>149</v>
      </c>
      <c r="G27" s="136"/>
      <c r="H27" s="137">
        <v>0.045</v>
      </c>
      <c r="I27" t="s" s="89">
        <v>78</v>
      </c>
      <c r="J27" s="56"/>
      <c r="K27" s="56"/>
      <c r="L27" s="86"/>
      <c r="M27" s="56"/>
      <c r="U27" s="62">
        <v>19</v>
      </c>
      <c r="AA27" t="s" s="88">
        <v>150</v>
      </c>
      <c r="AC27" t="s" s="62">
        <v>151</v>
      </c>
    </row>
    <row r="28" s="58" customFormat="1" ht="15" customHeight="1">
      <c r="A28" s="122"/>
      <c r="B28" t="s" s="129">
        <v>152</v>
      </c>
      <c r="C28" s="134">
        <v>44348</v>
      </c>
      <c r="D28" t="s" s="131">
        <v>78</v>
      </c>
      <c r="E28" s="138">
        <f>MONTH((DATE(1899,12,31)+(0*7+IF(C27&gt;60,C27-1,C27))))</f>
      </c>
      <c r="F28" t="s" s="135">
        <v>153</v>
      </c>
      <c r="G28" s="136"/>
      <c r="H28" s="139">
        <v>50</v>
      </c>
      <c r="I28" t="s" s="89">
        <v>78</v>
      </c>
      <c r="J28" s="56"/>
      <c r="K28" s="56"/>
      <c r="L28" s="86"/>
      <c r="M28" s="56"/>
      <c r="U28" s="62">
        <v>20</v>
      </c>
      <c r="AA28" t="s" s="88">
        <v>154</v>
      </c>
      <c r="AC28" t="s" s="62">
        <v>155</v>
      </c>
    </row>
    <row r="29" s="58" customFormat="1" ht="15" customHeight="1">
      <c r="B29" s="132"/>
      <c r="C29" s="75"/>
      <c r="D29" s="140"/>
      <c r="E29" s="138">
        <f>MONTH((DATE(1899,12,31)+(0*7+IF(C28&gt;60,C28-1,C28))))</f>
      </c>
      <c r="F29" t="s" s="135">
        <v>156</v>
      </c>
      <c r="G29" s="136"/>
      <c r="H29" s="141">
        <v>0.06</v>
      </c>
      <c r="I29" t="s" s="89">
        <v>78</v>
      </c>
      <c r="J29" s="56"/>
      <c r="K29" s="56"/>
      <c r="L29" s="56"/>
      <c r="M29" s="56"/>
      <c r="U29" s="62">
        <v>21</v>
      </c>
      <c r="AA29" t="s" s="88">
        <v>157</v>
      </c>
      <c r="AC29" t="s" s="62">
        <v>158</v>
      </c>
    </row>
    <row r="30" s="58" customFormat="1" ht="15" customHeight="1">
      <c r="B30" t="s" s="129">
        <v>159</v>
      </c>
      <c r="C30" s="134"/>
      <c r="D30" s="142"/>
      <c r="E30" s="138">
        <f>YEAR((DATE(1899,12,31)+(0*7+IF(C27&gt;60,C27-1,C27))))</f>
      </c>
      <c r="F30" s="143"/>
      <c r="G30" s="56"/>
      <c r="H30" s="80"/>
      <c r="I30" s="56"/>
      <c r="J30" s="56"/>
      <c r="K30" s="56"/>
      <c r="U30" s="62">
        <v>22</v>
      </c>
      <c r="AA30" t="s" s="88">
        <v>160</v>
      </c>
      <c r="AC30" t="s" s="62">
        <v>161</v>
      </c>
    </row>
    <row r="31" s="58" customFormat="1" ht="15.75" customHeight="1">
      <c r="B31" s="144"/>
      <c r="C31" s="145"/>
      <c r="D31" s="146"/>
      <c r="E31" s="147">
        <f>YEAR((DATE(1899,12,31)+(0*7+IF(C28&gt;60,C28-1,C28))))</f>
      </c>
      <c r="F31" t="s" s="148">
        <v>162</v>
      </c>
      <c r="G31" s="56"/>
      <c r="H31" s="133"/>
      <c r="I31" s="56"/>
      <c r="J31" s="56"/>
      <c r="K31" s="56"/>
      <c r="U31" s="62">
        <v>23</v>
      </c>
      <c r="AA31" t="s" s="88">
        <v>163</v>
      </c>
      <c r="AC31" t="s" s="62">
        <v>164</v>
      </c>
    </row>
    <row r="32" s="58" customFormat="1" ht="15.75" customHeight="1">
      <c r="F32" t="s" s="149">
        <v>165</v>
      </c>
      <c r="G32" s="136"/>
      <c r="H32" s="150">
        <v>424</v>
      </c>
      <c r="I32" t="s" s="151">
        <v>78</v>
      </c>
      <c r="J32" s="56"/>
      <c r="K32" s="56"/>
      <c r="U32" s="62">
        <v>24</v>
      </c>
      <c r="AA32" t="s" s="88">
        <v>166</v>
      </c>
      <c r="AC32" t="s" s="62">
        <v>167</v>
      </c>
    </row>
    <row r="33" s="58" customFormat="1" ht="14.25" customHeight="1">
      <c r="B33" t="s" s="152">
        <v>168</v>
      </c>
      <c r="C33" s="153">
        <v>52</v>
      </c>
      <c r="D33" s="154"/>
      <c r="F33" t="s" s="149">
        <v>169</v>
      </c>
      <c r="H33" s="150">
        <v>768</v>
      </c>
      <c r="I33" t="s" s="155">
        <v>78</v>
      </c>
      <c r="J33" s="56"/>
      <c r="K33" s="56"/>
      <c r="U33" s="62">
        <v>25</v>
      </c>
      <c r="AA33" t="s" s="88">
        <v>170</v>
      </c>
      <c r="AC33" t="s" s="62">
        <v>171</v>
      </c>
    </row>
    <row r="34" s="58" customFormat="1" ht="15.75" customHeight="1">
      <c r="F34" t="s" s="156">
        <v>172</v>
      </c>
      <c r="G34" s="157"/>
      <c r="H34" s="137">
        <v>0.004</v>
      </c>
      <c r="I34" t="s" s="155">
        <v>78</v>
      </c>
      <c r="J34" s="56"/>
      <c r="K34" s="56"/>
      <c r="U34" s="62">
        <v>26</v>
      </c>
      <c r="AA34" t="s" s="88">
        <v>173</v>
      </c>
      <c r="AC34" s="56"/>
    </row>
    <row r="35" s="58" customFormat="1" ht="18" customHeight="1">
      <c r="B35" t="s" s="158">
        <v>174</v>
      </c>
      <c r="C35" s="75"/>
      <c r="D35" s="76"/>
      <c r="F35" t="s" s="156">
        <v>175</v>
      </c>
      <c r="G35" s="159"/>
      <c r="H35" s="137">
        <v>0.02</v>
      </c>
      <c r="I35" t="s" s="89">
        <v>78</v>
      </c>
      <c r="J35" s="160"/>
      <c r="K35" s="160"/>
      <c r="U35" s="62">
        <v>27</v>
      </c>
      <c r="AA35" t="s" s="88">
        <v>176</v>
      </c>
      <c r="AC35" s="56"/>
    </row>
    <row r="36" s="58" customFormat="1" ht="15.75" customHeight="1">
      <c r="B36" t="s" s="161">
        <v>177</v>
      </c>
      <c r="C36" t="s" s="161">
        <v>178</v>
      </c>
      <c r="D36" t="s" s="161">
        <v>179</v>
      </c>
      <c r="E36" s="106"/>
      <c r="F36" s="56"/>
      <c r="G36" s="56"/>
      <c r="H36" s="80"/>
      <c r="I36" s="86"/>
      <c r="J36" s="162"/>
      <c r="K36" s="162"/>
      <c r="L36" s="56"/>
      <c r="M36" s="56"/>
      <c r="U36" s="62">
        <v>28</v>
      </c>
      <c r="AA36" t="s" s="88">
        <v>180</v>
      </c>
      <c r="AC36" s="56"/>
    </row>
    <row r="37" s="58" customFormat="1" ht="15" customHeight="1">
      <c r="A37" s="163"/>
      <c r="B37" t="s" s="164">
        <v>181</v>
      </c>
      <c r="C37" s="97">
        <v>0</v>
      </c>
      <c r="D37" t="s" s="165">
        <v>17</v>
      </c>
      <c r="E37" t="s" s="98">
        <v>78</v>
      </c>
      <c r="F37" t="s" s="166">
        <v>89</v>
      </c>
      <c r="G37" s="56"/>
      <c r="H37" s="133"/>
      <c r="I37" s="86"/>
      <c r="J37" s="162"/>
      <c r="K37" s="162"/>
      <c r="L37" s="86"/>
      <c r="M37" s="56"/>
      <c r="U37" s="62">
        <v>29</v>
      </c>
      <c r="AA37" t="s" s="88">
        <v>182</v>
      </c>
      <c r="AC37" s="56"/>
    </row>
    <row r="38" s="58" customFormat="1" ht="15" customHeight="1">
      <c r="A38" s="163"/>
      <c r="B38" t="s" s="164">
        <v>183</v>
      </c>
      <c r="C38" s="97">
        <v>0</v>
      </c>
      <c r="D38" s="167"/>
      <c r="E38" t="s" s="89">
        <v>78</v>
      </c>
      <c r="F38" t="s" s="149">
        <v>184</v>
      </c>
      <c r="G38" s="136"/>
      <c r="H38" s="168">
        <v>0.5</v>
      </c>
      <c r="I38" t="s" s="98">
        <v>78</v>
      </c>
      <c r="J38" s="86"/>
      <c r="K38" s="86"/>
      <c r="L38" s="56"/>
      <c r="M38" s="56"/>
      <c r="U38" s="62">
        <v>30</v>
      </c>
      <c r="Z38" s="56"/>
      <c r="AA38" t="s" s="88">
        <v>185</v>
      </c>
    </row>
    <row r="39" s="58" customFormat="1" ht="15.75" customHeight="1">
      <c r="A39" s="163"/>
      <c r="B39" t="s" s="164">
        <v>79</v>
      </c>
      <c r="C39" s="97">
        <v>75000</v>
      </c>
      <c r="D39" s="169"/>
      <c r="E39" t="s" s="98">
        <v>78</v>
      </c>
      <c r="F39" t="s" s="149">
        <v>186</v>
      </c>
      <c r="G39" s="157"/>
      <c r="H39" s="168">
        <v>0.0275</v>
      </c>
      <c r="I39" t="s" s="98">
        <v>78</v>
      </c>
      <c r="J39" s="86"/>
      <c r="K39" s="86"/>
      <c r="L39" s="86"/>
      <c r="M39" s="56"/>
      <c r="U39" s="62">
        <v>31</v>
      </c>
      <c r="AA39" t="s" s="88">
        <v>187</v>
      </c>
    </row>
    <row r="40" s="58" customFormat="1" ht="15" customHeight="1">
      <c r="A40" s="163"/>
      <c r="B40" t="s" s="164">
        <v>188</v>
      </c>
      <c r="C40" s="97">
        <v>50000</v>
      </c>
      <c r="D40" s="169"/>
      <c r="E40" t="s" s="98">
        <v>78</v>
      </c>
      <c r="F40" s="162"/>
      <c r="G40" s="162"/>
      <c r="H40" s="170"/>
      <c r="I40" s="56"/>
      <c r="J40" s="86"/>
      <c r="K40" s="86"/>
      <c r="L40" s="86"/>
      <c r="M40" s="56"/>
      <c r="U40" s="62">
        <v>32</v>
      </c>
      <c r="AA40" t="s" s="88">
        <v>189</v>
      </c>
    </row>
    <row r="41" s="58" customFormat="1" ht="15.75" customHeight="1">
      <c r="A41" s="163"/>
      <c r="B41" s="97"/>
      <c r="C41" s="97"/>
      <c r="D41" s="169"/>
      <c r="E41" t="s" s="98">
        <v>78</v>
      </c>
      <c r="F41" t="s" s="148">
        <v>190</v>
      </c>
      <c r="G41" s="162"/>
      <c r="H41" s="171"/>
      <c r="I41" s="56"/>
      <c r="J41" s="86"/>
      <c r="K41" s="86"/>
      <c r="L41" s="86"/>
      <c r="M41" s="56"/>
      <c r="U41" s="62">
        <v>33</v>
      </c>
      <c r="AA41" t="s" s="88">
        <v>191</v>
      </c>
    </row>
    <row r="42" s="58" customFormat="1" ht="15.75" customHeight="1">
      <c r="A42" s="82"/>
      <c r="B42" t="s" s="172">
        <v>192</v>
      </c>
      <c r="C42" s="173">
        <f>SUM(C37:C41)</f>
        <v>125000</v>
      </c>
      <c r="D42" s="174"/>
      <c r="E42" s="56"/>
      <c r="F42" t="s" s="149">
        <v>193</v>
      </c>
      <c r="G42" s="175"/>
      <c r="H42" s="137">
        <v>0.03</v>
      </c>
      <c r="I42" s="116"/>
      <c r="J42" s="56"/>
      <c r="K42" s="56"/>
      <c r="L42" s="86"/>
      <c r="M42" s="56"/>
      <c r="U42" s="62">
        <v>34</v>
      </c>
      <c r="AA42" t="s" s="88">
        <v>194</v>
      </c>
    </row>
    <row r="43" s="58" customFormat="1" ht="15" customHeight="1">
      <c r="A43" s="82"/>
      <c r="F43" t="s" s="149">
        <v>195</v>
      </c>
      <c r="G43" s="175"/>
      <c r="H43" s="137">
        <v>0.03</v>
      </c>
      <c r="I43" t="s" s="89">
        <v>78</v>
      </c>
      <c r="J43" s="56"/>
      <c r="K43" s="56"/>
      <c r="L43" s="86"/>
      <c r="M43" s="56"/>
      <c r="U43" s="62">
        <v>35</v>
      </c>
      <c r="AA43" t="s" s="88">
        <v>196</v>
      </c>
    </row>
    <row r="44" s="58" customFormat="1" ht="15" customHeight="1">
      <c r="A44" s="82"/>
      <c r="F44" t="s" s="149">
        <v>197</v>
      </c>
      <c r="G44" s="175"/>
      <c r="H44" s="137">
        <v>0.03</v>
      </c>
      <c r="I44" t="s" s="89">
        <v>78</v>
      </c>
      <c r="J44" s="56"/>
      <c r="K44" s="56"/>
      <c r="L44" s="86"/>
      <c r="M44" s="56"/>
      <c r="U44" s="62">
        <v>36</v>
      </c>
      <c r="AA44" t="s" s="88">
        <v>198</v>
      </c>
    </row>
    <row r="45" s="58" customFormat="1" ht="15" customHeight="1">
      <c r="F45" t="s" s="149">
        <v>199</v>
      </c>
      <c r="G45" s="175"/>
      <c r="H45" s="137">
        <v>0.03</v>
      </c>
      <c r="I45" t="s" s="89">
        <v>78</v>
      </c>
      <c r="J45" s="56"/>
      <c r="K45" s="56"/>
      <c r="L45" s="56"/>
      <c r="M45" s="56"/>
      <c r="U45" s="62">
        <v>37</v>
      </c>
      <c r="AA45" t="s" s="88">
        <v>200</v>
      </c>
    </row>
    <row r="46" s="58" customFormat="1" ht="12.75" customHeight="1">
      <c r="J46" s="56"/>
      <c r="K46" s="56"/>
      <c r="U46" s="62">
        <v>38</v>
      </c>
      <c r="AA46" t="s" s="88">
        <v>201</v>
      </c>
    </row>
    <row r="47" s="58" customFormat="1" ht="15.75" customHeight="1">
      <c r="B47" t="s" s="148">
        <v>202</v>
      </c>
      <c r="C47" s="176"/>
      <c r="D47" s="133"/>
      <c r="F47" t="s" s="148">
        <v>203</v>
      </c>
      <c r="G47" s="176"/>
      <c r="H47" s="133"/>
      <c r="I47" s="56"/>
      <c r="U47" s="62">
        <v>39</v>
      </c>
      <c r="AA47" t="s" s="88">
        <v>204</v>
      </c>
    </row>
    <row r="48" s="58" customFormat="1" ht="15" customHeight="1">
      <c r="B48" t="s" s="149">
        <v>205</v>
      </c>
      <c r="C48" s="175"/>
      <c r="D48" s="150">
        <v>260</v>
      </c>
      <c r="F48" t="s" s="149">
        <v>178</v>
      </c>
      <c r="G48" s="175"/>
      <c r="H48" s="177">
        <v>0</v>
      </c>
      <c r="I48" s="116"/>
      <c r="U48" s="62">
        <v>40</v>
      </c>
      <c r="AA48" t="s" s="88">
        <v>206</v>
      </c>
    </row>
    <row r="49" s="58" customFormat="1" ht="15" customHeight="1">
      <c r="B49" t="s" s="149">
        <v>207</v>
      </c>
      <c r="C49" s="175"/>
      <c r="D49" s="150">
        <v>260</v>
      </c>
      <c r="F49" t="s" s="149">
        <v>208</v>
      </c>
      <c r="G49" s="175"/>
      <c r="H49" s="169">
        <v>43800</v>
      </c>
      <c r="I49" s="116"/>
      <c r="U49" s="62">
        <v>41</v>
      </c>
      <c r="AA49" t="s" s="88">
        <v>209</v>
      </c>
    </row>
    <row r="50" s="58" customFormat="1" ht="15" customHeight="1">
      <c r="B50" t="s" s="149">
        <v>210</v>
      </c>
      <c r="C50" s="175"/>
      <c r="D50" s="137">
        <v>0.05</v>
      </c>
      <c r="F50" t="s" s="149">
        <v>211</v>
      </c>
      <c r="G50" s="175"/>
      <c r="H50" s="137">
        <v>0.05</v>
      </c>
      <c r="I50" t="s" s="89">
        <v>78</v>
      </c>
      <c r="U50" s="62">
        <v>42</v>
      </c>
      <c r="AA50" t="s" s="88">
        <v>212</v>
      </c>
    </row>
    <row r="51" s="58" customFormat="1" ht="15" customHeight="1">
      <c r="B51" t="s" s="149">
        <v>213</v>
      </c>
      <c r="D51" s="137">
        <v>0.03</v>
      </c>
      <c r="F51" t="s" s="149">
        <v>214</v>
      </c>
      <c r="G51" s="175"/>
      <c r="H51" s="178">
        <v>5</v>
      </c>
      <c r="I51" t="s" s="89">
        <v>78</v>
      </c>
      <c r="U51" s="62">
        <v>43</v>
      </c>
      <c r="AA51" t="s" s="88">
        <v>215</v>
      </c>
    </row>
    <row r="52" s="58" customFormat="1" ht="15" customHeight="1">
      <c r="B52" t="s" s="149">
        <v>216</v>
      </c>
      <c r="D52" s="137">
        <v>0.03</v>
      </c>
      <c r="F52" t="s" s="149">
        <v>217</v>
      </c>
      <c r="G52" s="175"/>
      <c r="H52" t="s" s="139">
        <v>9</v>
      </c>
      <c r="I52" t="s" s="89">
        <v>78</v>
      </c>
      <c r="U52" s="62">
        <v>44</v>
      </c>
      <c r="AA52" t="s" s="88">
        <v>218</v>
      </c>
    </row>
    <row r="53" s="58" customFormat="1" ht="15" customHeight="1">
      <c r="B53" t="s" s="149">
        <v>219</v>
      </c>
      <c r="D53" s="137">
        <v>0.03</v>
      </c>
      <c r="F53" t="s" s="149">
        <v>220</v>
      </c>
      <c r="H53" t="s" s="139">
        <v>9</v>
      </c>
      <c r="I53" t="s" s="89">
        <v>78</v>
      </c>
      <c r="U53" s="62">
        <v>45</v>
      </c>
      <c r="AA53" t="s" s="88">
        <v>221</v>
      </c>
    </row>
    <row r="54" s="58" customFormat="1" ht="15" customHeight="1">
      <c r="F54" t="s" s="149">
        <v>222</v>
      </c>
      <c r="H54" s="178">
        <v>5</v>
      </c>
      <c r="I54" t="s" s="89">
        <v>78</v>
      </c>
      <c r="U54" s="62">
        <v>46</v>
      </c>
      <c r="AA54" t="s" s="88">
        <v>223</v>
      </c>
    </row>
    <row r="55" s="58" customFormat="1" ht="15" customHeight="1">
      <c r="E55" s="56"/>
      <c r="H55" s="179"/>
      <c r="U55" s="62">
        <v>47</v>
      </c>
      <c r="AA55" t="s" s="88">
        <v>224</v>
      </c>
    </row>
    <row r="56" s="58" customFormat="1" ht="15" customHeight="1" hidden="1">
      <c r="F56" s="176"/>
      <c r="G56" s="176"/>
      <c r="H56" s="180"/>
      <c r="U56" s="62">
        <v>48</v>
      </c>
      <c r="Z56" s="56"/>
      <c r="AA56" t="s" s="88">
        <v>225</v>
      </c>
    </row>
    <row r="57" s="58" customFormat="1" ht="15" customHeight="1" hidden="1">
      <c r="U57" s="62">
        <v>49</v>
      </c>
      <c r="Z57" s="56"/>
      <c r="AA57" t="s" s="88">
        <v>226</v>
      </c>
    </row>
    <row r="58" s="58" customFormat="1" ht="15" customHeight="1" hidden="1">
      <c r="U58" s="62">
        <v>50</v>
      </c>
      <c r="Z58" s="56"/>
      <c r="AA58" t="s" s="88">
        <v>227</v>
      </c>
    </row>
    <row r="59" s="58" customFormat="1" ht="12.75" customHeight="1" hidden="1">
      <c r="Z59" s="56"/>
      <c r="AA59" t="s" s="88">
        <v>228</v>
      </c>
    </row>
    <row r="60" s="58" customFormat="1" ht="12.75" customHeight="1" hidden="1">
      <c r="Z60" s="56"/>
      <c r="AA60" t="s" s="88">
        <v>229</v>
      </c>
    </row>
    <row r="61" s="58" customFormat="1" ht="12.75" customHeight="1" hidden="1">
      <c r="E61" s="116"/>
      <c r="Z61" s="56"/>
      <c r="AA61" t="s" s="88">
        <v>230</v>
      </c>
    </row>
    <row r="62" s="58" customFormat="1" ht="15.75" customHeight="1" hidden="1">
      <c r="E62" s="181"/>
      <c r="F62" s="56"/>
      <c r="G62" s="56"/>
      <c r="AA62" t="s" s="88">
        <v>231</v>
      </c>
    </row>
    <row r="63" s="58" customFormat="1" ht="15.75" customHeight="1" hidden="1">
      <c r="F63" s="181"/>
      <c r="AA63" t="s" s="88">
        <v>232</v>
      </c>
    </row>
    <row r="64" s="58" customFormat="1" ht="12.75" customHeight="1" hidden="1">
      <c r="AA64" t="s" s="88">
        <v>233</v>
      </c>
    </row>
    <row r="65" s="58" customFormat="1" ht="12.75" customHeight="1" hidden="1">
      <c r="AA65" t="s" s="88">
        <v>234</v>
      </c>
    </row>
    <row r="66" s="58" customFormat="1" ht="12.75" customHeight="1" hidden="1">
      <c r="AA66" t="s" s="88">
        <v>235</v>
      </c>
    </row>
    <row r="67" s="58" customFormat="1" ht="12.75" customHeight="1" hidden="1">
      <c r="AA67" t="s" s="88">
        <v>236</v>
      </c>
    </row>
    <row r="68" s="58" customFormat="1" ht="12.75" customHeight="1" hidden="1">
      <c r="AA68" t="s" s="88">
        <v>237</v>
      </c>
    </row>
    <row r="69" s="58" customFormat="1" ht="12.75" customHeight="1" hidden="1">
      <c r="AA69" t="s" s="88">
        <v>238</v>
      </c>
    </row>
    <row r="70" s="58" customFormat="1" ht="12.75" customHeight="1" hidden="1">
      <c r="AA70" t="s" s="88">
        <v>239</v>
      </c>
    </row>
    <row r="71" s="58" customFormat="1" ht="12.75" customHeight="1" hidden="1">
      <c r="AA71" t="s" s="88">
        <v>240</v>
      </c>
    </row>
    <row r="72" s="58" customFormat="1" ht="12.75" customHeight="1" hidden="1">
      <c r="AA72" t="s" s="88">
        <v>241</v>
      </c>
    </row>
    <row r="73" s="58" customFormat="1" ht="12.75" customHeight="1" hidden="1">
      <c r="AA73" t="s" s="88">
        <v>242</v>
      </c>
    </row>
    <row r="74" s="58" customFormat="1" ht="12.75" customHeight="1" hidden="1">
      <c r="AA74" t="s" s="88">
        <v>243</v>
      </c>
    </row>
    <row r="75" s="58" customFormat="1" ht="12.75" customHeight="1" hidden="1">
      <c r="AA75" t="s" s="88">
        <v>244</v>
      </c>
    </row>
    <row r="76" s="58" customFormat="1" ht="12.75" customHeight="1" hidden="1">
      <c r="AA76" t="s" s="81">
        <v>245</v>
      </c>
    </row>
    <row r="77" s="58" customFormat="1" ht="12.75" customHeight="1" hidden="1">
      <c r="AA77" t="s" s="81">
        <v>246</v>
      </c>
    </row>
    <row r="78" s="58" customFormat="1" ht="12.75" customHeight="1" hidden="1">
      <c r="AA78" t="s" s="88">
        <v>247</v>
      </c>
    </row>
    <row r="79" s="58" customFormat="1" ht="12.75" customHeight="1" hidden="1">
      <c r="AA79" t="s" s="81">
        <v>248</v>
      </c>
    </row>
    <row r="80" s="58" customFormat="1" ht="12.75" customHeight="1" hidden="1">
      <c r="AA80" t="s" s="88">
        <v>249</v>
      </c>
    </row>
    <row r="81" s="58" customFormat="1" ht="12.75" customHeight="1" hidden="1">
      <c r="AA81" t="s" s="88">
        <v>250</v>
      </c>
    </row>
    <row r="82" s="58" customFormat="1" ht="12.75" customHeight="1" hidden="1">
      <c r="AA82" t="s" s="88">
        <v>251</v>
      </c>
    </row>
    <row r="83" s="58" customFormat="1" ht="12.75" customHeight="1" hidden="1">
      <c r="AA83" t="s" s="88">
        <v>252</v>
      </c>
    </row>
    <row r="84" s="58" customFormat="1" ht="12.75" customHeight="1" hidden="1">
      <c r="AA84" t="s" s="88">
        <v>253</v>
      </c>
    </row>
    <row r="85" s="58" customFormat="1" ht="12.75" customHeight="1" hidden="1">
      <c r="AA85" t="s" s="88">
        <v>254</v>
      </c>
    </row>
    <row r="86" s="58" customFormat="1" ht="12.75" customHeight="1" hidden="1">
      <c r="AA86" t="s" s="88">
        <v>255</v>
      </c>
    </row>
    <row r="87" s="58" customFormat="1" ht="12.75" customHeight="1" hidden="1">
      <c r="AA87" t="s" s="88">
        <v>256</v>
      </c>
    </row>
    <row r="88" s="58" customFormat="1" ht="12.75" customHeight="1" hidden="1">
      <c r="AA88" t="s" s="88">
        <v>257</v>
      </c>
    </row>
    <row r="89" s="58" customFormat="1" ht="12.75" customHeight="1" hidden="1">
      <c r="AA89" t="s" s="88">
        <v>258</v>
      </c>
    </row>
    <row r="90" s="58" customFormat="1" ht="12.75" customHeight="1" hidden="1">
      <c r="AA90" t="s" s="88">
        <v>259</v>
      </c>
    </row>
    <row r="91" s="58" customFormat="1" ht="12.75" customHeight="1" hidden="1">
      <c r="AA91" t="s" s="88">
        <v>260</v>
      </c>
    </row>
    <row r="92" s="58" customFormat="1" ht="12.75" customHeight="1" hidden="1">
      <c r="AA92" t="s" s="88">
        <v>261</v>
      </c>
    </row>
    <row r="93" s="58" customFormat="1" ht="12.75" customHeight="1" hidden="1">
      <c r="AA93" t="s" s="88">
        <v>262</v>
      </c>
    </row>
    <row r="94" s="58" customFormat="1" ht="12.75" customHeight="1" hidden="1">
      <c r="AA94" t="s" s="88">
        <v>263</v>
      </c>
    </row>
    <row r="95" s="58" customFormat="1" ht="12.75" customHeight="1" hidden="1">
      <c r="AA95" t="s" s="88">
        <v>264</v>
      </c>
    </row>
    <row r="96" s="58" customFormat="1" ht="12.75" customHeight="1" hidden="1">
      <c r="AA96" t="s" s="88">
        <v>265</v>
      </c>
    </row>
    <row r="97" s="58" customFormat="1" ht="12.75" customHeight="1" hidden="1">
      <c r="AA97" t="s" s="88">
        <v>266</v>
      </c>
    </row>
    <row r="98" s="58" customFormat="1" ht="12.75" customHeight="1" hidden="1">
      <c r="AA98" t="s" s="88">
        <v>267</v>
      </c>
    </row>
    <row r="99" s="58" customFormat="1" ht="12.75" customHeight="1" hidden="1">
      <c r="AA99" t="s" s="88">
        <v>268</v>
      </c>
    </row>
    <row r="100" s="58" customFormat="1" ht="12.75" customHeight="1" hidden="1">
      <c r="AA100" t="s" s="81">
        <v>269</v>
      </c>
    </row>
    <row r="101" s="58" customFormat="1" ht="12.75" customHeight="1" hidden="1">
      <c r="AA101" t="s" s="81">
        <v>270</v>
      </c>
    </row>
    <row r="102" s="58" customFormat="1" ht="12.75" customHeight="1" hidden="1">
      <c r="AA102" t="s" s="88">
        <v>271</v>
      </c>
    </row>
    <row r="103" s="58" customFormat="1" ht="12.75" customHeight="1" hidden="1">
      <c r="AA103" t="s" s="88">
        <v>272</v>
      </c>
    </row>
    <row r="104" s="58" customFormat="1" ht="12.75" customHeight="1" hidden="1">
      <c r="AA104" t="s" s="88">
        <v>273</v>
      </c>
    </row>
    <row r="105" s="58" customFormat="1" ht="12.75" customHeight="1" hidden="1">
      <c r="AA105" t="s" s="81">
        <v>274</v>
      </c>
    </row>
    <row r="106" s="58" customFormat="1" ht="12.75" customHeight="1" hidden="1">
      <c r="AA106" t="s" s="88">
        <v>275</v>
      </c>
    </row>
    <row r="107" s="58" customFormat="1" ht="12.75" customHeight="1" hidden="1">
      <c r="AA107" t="s" s="88">
        <v>276</v>
      </c>
    </row>
    <row r="108" s="58" customFormat="1" ht="12.75" customHeight="1" hidden="1">
      <c r="AA108" t="s" s="88">
        <v>277</v>
      </c>
    </row>
    <row r="109" s="58" customFormat="1" ht="12.75" customHeight="1" hidden="1">
      <c r="AA109" t="s" s="81">
        <v>278</v>
      </c>
    </row>
    <row r="110" s="58" customFormat="1" ht="12.75" customHeight="1" hidden="1">
      <c r="AA110" t="s" s="88">
        <v>279</v>
      </c>
    </row>
    <row r="111" s="58" customFormat="1" ht="12.75" customHeight="1" hidden="1">
      <c r="AA111" t="s" s="88">
        <v>280</v>
      </c>
    </row>
    <row r="112" s="58" customFormat="1" ht="12.75" customHeight="1" hidden="1">
      <c r="AA112" t="s" s="88">
        <v>281</v>
      </c>
    </row>
    <row r="113" s="58" customFormat="1" ht="12.75" customHeight="1" hidden="1">
      <c r="AA113" t="s" s="81">
        <v>282</v>
      </c>
    </row>
    <row r="114" s="58" customFormat="1" ht="12.75" customHeight="1" hidden="1">
      <c r="AA114" t="s" s="88">
        <v>283</v>
      </c>
    </row>
    <row r="115" s="58" customFormat="1" ht="12.75" customHeight="1" hidden="1">
      <c r="AA115" t="s" s="81">
        <v>284</v>
      </c>
    </row>
    <row r="116" s="58" customFormat="1" ht="12.75" customHeight="1" hidden="1">
      <c r="AA116" t="s" s="88">
        <v>285</v>
      </c>
    </row>
    <row r="117" s="58" customFormat="1" ht="12.75" customHeight="1" hidden="1">
      <c r="AA117" t="s" s="88">
        <v>286</v>
      </c>
    </row>
    <row r="118" s="58" customFormat="1" ht="12.75" customHeight="1" hidden="1">
      <c r="AA118" t="s" s="88">
        <v>287</v>
      </c>
    </row>
    <row r="119" s="58" customFormat="1" ht="12.75" customHeight="1" hidden="1">
      <c r="AA119" t="s" s="88">
        <v>288</v>
      </c>
    </row>
    <row r="120" s="58" customFormat="1" ht="12.75" customHeight="1" hidden="1">
      <c r="AA120" t="s" s="88">
        <v>289</v>
      </c>
    </row>
    <row r="121" s="58" customFormat="1" ht="12.75" customHeight="1" hidden="1">
      <c r="AA121" t="s" s="88">
        <v>290</v>
      </c>
    </row>
    <row r="122" s="58" customFormat="1" ht="12.75" customHeight="1" hidden="1">
      <c r="AA122" t="s" s="88">
        <v>291</v>
      </c>
    </row>
    <row r="123" s="58" customFormat="1" ht="12.75" customHeight="1" hidden="1">
      <c r="AA123" t="s" s="88">
        <v>292</v>
      </c>
    </row>
    <row r="124" s="58" customFormat="1" ht="12.75" customHeight="1" hidden="1">
      <c r="AA124" t="s" s="88">
        <v>293</v>
      </c>
    </row>
    <row r="125" s="58" customFormat="1" ht="12.75" customHeight="1" hidden="1">
      <c r="AA125" t="s" s="88">
        <v>294</v>
      </c>
    </row>
    <row r="126" s="58" customFormat="1" ht="12.75" customHeight="1" hidden="1">
      <c r="AA126" t="s" s="88">
        <v>295</v>
      </c>
    </row>
    <row r="127" s="58" customFormat="1" ht="12.75" customHeight="1" hidden="1">
      <c r="AA127" t="s" s="88">
        <v>296</v>
      </c>
    </row>
    <row r="128" s="58" customFormat="1" ht="12.75" customHeight="1" hidden="1">
      <c r="AA128" t="s" s="81">
        <v>297</v>
      </c>
    </row>
    <row r="129" s="58" customFormat="1" ht="12.75" customHeight="1" hidden="1">
      <c r="AA129" t="s" s="88">
        <v>298</v>
      </c>
    </row>
    <row r="130" s="58" customFormat="1" ht="12.75" customHeight="1" hidden="1">
      <c r="AA130" t="s" s="88">
        <v>299</v>
      </c>
    </row>
    <row r="131" s="58" customFormat="1" ht="12.75" customHeight="1" hidden="1">
      <c r="AA131" t="s" s="81">
        <v>300</v>
      </c>
    </row>
    <row r="132" s="58" customFormat="1" ht="12.75" customHeight="1" hidden="1">
      <c r="AA132" t="s" s="88">
        <v>301</v>
      </c>
    </row>
    <row r="133" s="58" customFormat="1" ht="12.75" customHeight="1" hidden="1">
      <c r="AA133" t="s" s="88">
        <v>302</v>
      </c>
    </row>
    <row r="134" s="58" customFormat="1" ht="12.75" customHeight="1" hidden="1">
      <c r="AA134" t="s" s="88">
        <v>303</v>
      </c>
    </row>
    <row r="135" s="58" customFormat="1" ht="12.75" customHeight="1" hidden="1">
      <c r="AA135" t="s" s="88">
        <v>304</v>
      </c>
    </row>
    <row r="136" s="58" customFormat="1" ht="12.75" customHeight="1" hidden="1">
      <c r="AA136" t="s" s="88">
        <v>305</v>
      </c>
    </row>
    <row r="137" s="58" customFormat="1" ht="12.75" customHeight="1" hidden="1">
      <c r="AA137" t="s" s="81">
        <v>306</v>
      </c>
    </row>
    <row r="138" s="58" customFormat="1" ht="12.75" customHeight="1" hidden="1">
      <c r="AA138" t="s" s="88">
        <v>307</v>
      </c>
    </row>
    <row r="139" s="58" customFormat="1" ht="12.75" customHeight="1" hidden="1">
      <c r="AA139" t="s" s="88">
        <v>308</v>
      </c>
    </row>
    <row r="140" s="58" customFormat="1" ht="12.75" customHeight="1" hidden="1">
      <c r="AA140" t="s" s="88">
        <v>309</v>
      </c>
    </row>
    <row r="141" s="58" customFormat="1" ht="12.75" customHeight="1" hidden="1">
      <c r="AA141" t="s" s="88">
        <v>310</v>
      </c>
    </row>
    <row r="142" s="58" customFormat="1" ht="12.75" customHeight="1" hidden="1">
      <c r="AA142" t="s" s="88">
        <v>311</v>
      </c>
    </row>
    <row r="143" s="58" customFormat="1" ht="12.75" customHeight="1" hidden="1">
      <c r="AA143" t="s" s="88">
        <v>312</v>
      </c>
    </row>
    <row r="144" s="58" customFormat="1" ht="12.75" customHeight="1" hidden="1">
      <c r="AA144" t="s" s="88">
        <v>313</v>
      </c>
    </row>
    <row r="145" s="58" customFormat="1" ht="12.75" customHeight="1" hidden="1">
      <c r="AA145" t="s" s="88">
        <v>314</v>
      </c>
    </row>
    <row r="146" s="58" customFormat="1" ht="12.75" customHeight="1" hidden="1">
      <c r="AA146" t="s" s="88">
        <v>315</v>
      </c>
    </row>
    <row r="147" s="58" customFormat="1" ht="12.75" customHeight="1" hidden="1">
      <c r="AA147" t="s" s="88">
        <v>316</v>
      </c>
    </row>
    <row r="148" s="58" customFormat="1" ht="12.75" customHeight="1" hidden="1">
      <c r="AA148" t="s" s="88">
        <v>317</v>
      </c>
    </row>
    <row r="149" s="58" customFormat="1" ht="12.75" customHeight="1" hidden="1">
      <c r="AA149" t="s" s="88">
        <v>318</v>
      </c>
    </row>
    <row r="150" s="58" customFormat="1" ht="12.75" customHeight="1" hidden="1">
      <c r="AA150" t="s" s="88">
        <v>319</v>
      </c>
    </row>
    <row r="151" s="58" customFormat="1" ht="12.75" customHeight="1" hidden="1">
      <c r="AA151" t="s" s="88">
        <v>320</v>
      </c>
    </row>
    <row r="152" s="58" customFormat="1" ht="12.75" customHeight="1" hidden="1">
      <c r="AA152" t="s" s="88">
        <v>321</v>
      </c>
    </row>
    <row r="153" s="58" customFormat="1" ht="12.75" customHeight="1" hidden="1">
      <c r="AA153" t="s" s="88">
        <v>322</v>
      </c>
    </row>
    <row r="154" s="58" customFormat="1" ht="12.75" customHeight="1" hidden="1">
      <c r="AA154" t="s" s="88">
        <v>323</v>
      </c>
    </row>
    <row r="155" s="58" customFormat="1" ht="12.75" customHeight="1" hidden="1">
      <c r="AA155" t="s" s="88">
        <v>324</v>
      </c>
    </row>
    <row r="156" s="58" customFormat="1" ht="12.75" customHeight="1" hidden="1">
      <c r="AA156" t="s" s="88">
        <v>325</v>
      </c>
    </row>
    <row r="157" s="58" customFormat="1" ht="12.75" customHeight="1" hidden="1">
      <c r="AA157" t="s" s="88">
        <v>326</v>
      </c>
    </row>
    <row r="158" s="58" customFormat="1" ht="12.75" customHeight="1" hidden="1">
      <c r="AA158" t="s" s="88">
        <v>327</v>
      </c>
    </row>
    <row r="159" s="58" customFormat="1" ht="12.75" customHeight="1" hidden="1">
      <c r="AA159" t="s" s="88">
        <v>328</v>
      </c>
    </row>
    <row r="160" s="58" customFormat="1" ht="12.75" customHeight="1" hidden="1">
      <c r="AA160" t="s" s="88">
        <v>329</v>
      </c>
    </row>
    <row r="161" s="58" customFormat="1" ht="12.75" customHeight="1" hidden="1">
      <c r="AA161" t="s" s="81">
        <v>330</v>
      </c>
    </row>
    <row r="162" s="58" customFormat="1" ht="12.75" customHeight="1" hidden="1">
      <c r="AA162" t="s" s="88">
        <v>331</v>
      </c>
    </row>
    <row r="163" s="58" customFormat="1" ht="12.75" customHeight="1" hidden="1">
      <c r="AA163" t="s" s="88">
        <v>332</v>
      </c>
    </row>
    <row r="164" s="58" customFormat="1" ht="12.75" customHeight="1" hidden="1">
      <c r="AA164" t="s" s="88">
        <v>333</v>
      </c>
    </row>
    <row r="165" s="58" customFormat="1" ht="12.75" customHeight="1" hidden="1">
      <c r="AA165" t="s" s="88">
        <v>334</v>
      </c>
    </row>
    <row r="166" s="58" customFormat="1" ht="12.75" customHeight="1" hidden="1">
      <c r="AA166" t="s" s="88">
        <v>335</v>
      </c>
    </row>
    <row r="167" s="58" customFormat="1" ht="12.75" customHeight="1" hidden="1">
      <c r="AA167" t="s" s="88">
        <v>336</v>
      </c>
    </row>
    <row r="168" s="58" customFormat="1" ht="12.75" customHeight="1" hidden="1">
      <c r="AA168" t="s" s="81">
        <v>337</v>
      </c>
    </row>
    <row r="169" s="58" customFormat="1" ht="12.75" customHeight="1" hidden="1">
      <c r="AA169" t="s" s="88">
        <v>338</v>
      </c>
    </row>
    <row r="170" s="58" customFormat="1" ht="12.75" customHeight="1" hidden="1">
      <c r="AA170" t="s" s="88">
        <v>339</v>
      </c>
    </row>
    <row r="171" s="58" customFormat="1" ht="12.75" customHeight="1" hidden="1">
      <c r="AA171" t="s" s="88">
        <v>340</v>
      </c>
    </row>
    <row r="172" s="58" customFormat="1" ht="12.75" customHeight="1" hidden="1">
      <c r="AA172" t="s" s="88">
        <v>341</v>
      </c>
    </row>
    <row r="173" s="58" customFormat="1" ht="12.75" customHeight="1" hidden="1">
      <c r="AA173" t="s" s="182">
        <v>342</v>
      </c>
    </row>
    <row r="174" s="58" customFormat="1" ht="12.75" customHeight="1" hidden="1">
      <c r="AA174" t="s" s="88">
        <v>343</v>
      </c>
    </row>
    <row r="175" s="58" customFormat="1" ht="12.75" customHeight="1" hidden="1">
      <c r="AA175" t="s" s="88">
        <v>344</v>
      </c>
    </row>
    <row r="176" s="58" customFormat="1" ht="12.75" customHeight="1" hidden="1">
      <c r="AA176" t="s" s="88">
        <v>345</v>
      </c>
    </row>
    <row r="177" s="58" customFormat="1" ht="12.75" customHeight="1" hidden="1">
      <c r="AA177" t="s" s="88">
        <v>346</v>
      </c>
    </row>
    <row r="178" s="58" customFormat="1" ht="12.75" customHeight="1" hidden="1">
      <c r="AA178" t="s" s="88">
        <v>347</v>
      </c>
    </row>
    <row r="179" s="58" customFormat="1" ht="12.75" customHeight="1" hidden="1">
      <c r="AA179" t="s" s="88">
        <v>348</v>
      </c>
    </row>
    <row r="180" s="58" customFormat="1" ht="12.75" customHeight="1" hidden="1">
      <c r="AA180" t="s" s="88">
        <v>349</v>
      </c>
    </row>
    <row r="181" s="58" customFormat="1" ht="12.75" customHeight="1" hidden="1">
      <c r="AA181" t="s" s="88">
        <v>350</v>
      </c>
    </row>
    <row r="182" s="58" customFormat="1" ht="12.75" customHeight="1" hidden="1">
      <c r="AA182" t="s" s="88">
        <v>351</v>
      </c>
    </row>
    <row r="183" s="58" customFormat="1" ht="12.75" customHeight="1" hidden="1">
      <c r="AA183" t="s" s="88">
        <v>352</v>
      </c>
    </row>
    <row r="184" s="58" customFormat="1" ht="12.75" customHeight="1" hidden="1">
      <c r="AA184" t="s" s="88">
        <v>353</v>
      </c>
    </row>
    <row r="185" s="58" customFormat="1" ht="12.75" customHeight="1" hidden="1">
      <c r="AA185" t="s" s="88">
        <v>354</v>
      </c>
    </row>
    <row r="186" s="58" customFormat="1" ht="12.75" customHeight="1" hidden="1">
      <c r="AA186" t="s" s="88">
        <v>355</v>
      </c>
    </row>
    <row r="187" s="58" customFormat="1" ht="12.75" customHeight="1" hidden="1">
      <c r="AA187" t="s" s="88">
        <v>356</v>
      </c>
    </row>
    <row r="188" s="58" customFormat="1" ht="12.75" customHeight="1" hidden="1">
      <c r="AA188" t="s" s="88">
        <v>357</v>
      </c>
    </row>
    <row r="189" s="58" customFormat="1" ht="12.75" customHeight="1" hidden="1">
      <c r="AA189" t="s" s="182">
        <v>358</v>
      </c>
    </row>
    <row r="190" s="58" customFormat="1" ht="12.75" customHeight="1" hidden="1">
      <c r="AA190" t="s" s="88">
        <v>359</v>
      </c>
    </row>
    <row r="191" s="58" customFormat="1" ht="12.75" customHeight="1" hidden="1">
      <c r="AA191" t="s" s="88">
        <v>360</v>
      </c>
    </row>
    <row r="192" s="58" customFormat="1" ht="12.75" customHeight="1" hidden="1">
      <c r="AA192" t="s" s="88">
        <v>361</v>
      </c>
    </row>
    <row r="193" s="58" customFormat="1" ht="12.75" customHeight="1" hidden="1">
      <c r="AA193" t="s" s="88">
        <v>362</v>
      </c>
    </row>
    <row r="194" s="58" customFormat="1" ht="12.75" customHeight="1" hidden="1">
      <c r="AA194" t="s" s="88">
        <v>363</v>
      </c>
    </row>
    <row r="195" s="58" customFormat="1" ht="12.75" customHeight="1" hidden="1">
      <c r="AA195" t="s" s="88">
        <v>364</v>
      </c>
    </row>
    <row r="196" s="58" customFormat="1" ht="12.75" customHeight="1" hidden="1">
      <c r="AA196" t="s" s="88">
        <v>365</v>
      </c>
    </row>
    <row r="197" s="58" customFormat="1" ht="12.75" customHeight="1" hidden="1">
      <c r="AA197" t="s" s="88">
        <v>366</v>
      </c>
    </row>
    <row r="198" s="58" customFormat="1" ht="12.75" customHeight="1" hidden="1">
      <c r="AA198" t="s" s="88">
        <v>367</v>
      </c>
    </row>
    <row r="199" s="58" customFormat="1" ht="12.75" customHeight="1" hidden="1">
      <c r="AA199" t="s" s="88">
        <v>368</v>
      </c>
    </row>
    <row r="200" s="58" customFormat="1" ht="12.75" customHeight="1" hidden="1">
      <c r="AA200" t="s" s="88">
        <v>369</v>
      </c>
    </row>
    <row r="201" s="58" customFormat="1" ht="12.75" customHeight="1" hidden="1">
      <c r="AA201" t="s" s="88">
        <v>370</v>
      </c>
    </row>
    <row r="202" s="58" customFormat="1" ht="12.75" customHeight="1" hidden="1">
      <c r="AA202" t="s" s="88">
        <v>371</v>
      </c>
    </row>
    <row r="203" s="58" customFormat="1" ht="12.75" customHeight="1" hidden="1">
      <c r="AA203" t="s" s="88">
        <v>372</v>
      </c>
    </row>
    <row r="204" s="58" customFormat="1" ht="12.75" customHeight="1" hidden="1">
      <c r="AA204" t="s" s="88">
        <v>373</v>
      </c>
    </row>
    <row r="205" s="58" customFormat="1" ht="12.75" customHeight="1" hidden="1">
      <c r="AA205" t="s" s="88">
        <v>374</v>
      </c>
    </row>
    <row r="206" s="58" customFormat="1" ht="12.75" customHeight="1" hidden="1">
      <c r="AA206" t="s" s="81">
        <v>375</v>
      </c>
    </row>
    <row r="207" s="58" customFormat="1" ht="12.75" customHeight="1" hidden="1">
      <c r="AA207" t="s" s="88">
        <v>376</v>
      </c>
    </row>
    <row r="208" s="58" customFormat="1" ht="12.75" customHeight="1" hidden="1">
      <c r="AA208" t="s" s="88">
        <v>377</v>
      </c>
    </row>
    <row r="209" s="58" customFormat="1" ht="12.75" customHeight="1" hidden="1">
      <c r="AA209" t="s" s="81">
        <v>378</v>
      </c>
    </row>
    <row r="210" s="58" customFormat="1" ht="12.75" customHeight="1" hidden="1">
      <c r="AA210" t="s" s="88">
        <v>379</v>
      </c>
    </row>
    <row r="211" s="58" customFormat="1" ht="12.75" customHeight="1" hidden="1">
      <c r="AA211" t="s" s="88">
        <v>380</v>
      </c>
    </row>
    <row r="212" s="58" customFormat="1" ht="12.75" customHeight="1" hidden="1">
      <c r="AA212" t="s" s="88">
        <v>381</v>
      </c>
    </row>
    <row r="213" s="58" customFormat="1" ht="12.75" customHeight="1" hidden="1">
      <c r="AA213" t="s" s="88">
        <v>382</v>
      </c>
    </row>
    <row r="214" s="58" customFormat="1" ht="12.75" customHeight="1" hidden="1">
      <c r="AA214" t="s" s="88">
        <v>383</v>
      </c>
    </row>
    <row r="215" s="58" customFormat="1" ht="12.75" customHeight="1" hidden="1">
      <c r="AA215" t="s" s="81">
        <v>384</v>
      </c>
    </row>
    <row r="216" s="58" customFormat="1" ht="12.75" customHeight="1" hidden="1">
      <c r="AA216" t="s" s="88">
        <v>385</v>
      </c>
    </row>
    <row r="217" s="58" customFormat="1" ht="12.75" customHeight="1" hidden="1">
      <c r="AA217" t="s" s="88">
        <v>386</v>
      </c>
    </row>
    <row r="218" s="58" customFormat="1" ht="12.75" customHeight="1" hidden="1">
      <c r="AA218" t="s" s="88">
        <v>387</v>
      </c>
    </row>
    <row r="219" s="58" customFormat="1" ht="12.75" customHeight="1" hidden="1">
      <c r="AA219" t="s" s="88">
        <v>388</v>
      </c>
    </row>
    <row r="220" s="58" customFormat="1" ht="12.75" customHeight="1" hidden="1">
      <c r="AA220" t="s" s="88">
        <v>389</v>
      </c>
    </row>
    <row r="221" s="58" customFormat="1" ht="12.75" customHeight="1" hidden="1">
      <c r="AA221" t="s" s="88">
        <v>390</v>
      </c>
    </row>
    <row r="222" s="58" customFormat="1" ht="12.75" customHeight="1" hidden="1">
      <c r="AA222" t="s" s="88">
        <v>391</v>
      </c>
    </row>
    <row r="223" s="58" customFormat="1" ht="12.75" customHeight="1" hidden="1">
      <c r="AA223" t="s" s="81">
        <v>392</v>
      </c>
    </row>
    <row r="224" s="58" customFormat="1" ht="12.75" customHeight="1" hidden="1">
      <c r="AA224" t="s" s="88">
        <v>393</v>
      </c>
    </row>
    <row r="225" s="58" customFormat="1" ht="12.75" customHeight="1" hidden="1">
      <c r="AA225" t="s" s="88">
        <v>394</v>
      </c>
    </row>
    <row r="226" s="58" customFormat="1" ht="12.75" customHeight="1" hidden="1">
      <c r="AA226" t="s" s="88">
        <v>395</v>
      </c>
    </row>
    <row r="227" s="58" customFormat="1" ht="12.75" customHeight="1" hidden="1">
      <c r="AA227" t="s" s="88">
        <v>396</v>
      </c>
    </row>
    <row r="228" s="58" customFormat="1" ht="12.75" customHeight="1" hidden="1">
      <c r="AA228" t="s" s="88">
        <v>397</v>
      </c>
    </row>
    <row r="229" s="58" customFormat="1" ht="12.75" customHeight="1" hidden="1">
      <c r="AA229" t="s" s="88">
        <v>398</v>
      </c>
    </row>
    <row r="230" s="58" customFormat="1" ht="12.75" customHeight="1" hidden="1">
      <c r="AA230" t="s" s="88">
        <v>399</v>
      </c>
    </row>
    <row r="231" s="58" customFormat="1" ht="12.75" customHeight="1" hidden="1">
      <c r="AA231" t="s" s="88">
        <v>400</v>
      </c>
    </row>
    <row r="232" s="58" customFormat="1" ht="12.75" customHeight="1" hidden="1">
      <c r="AA232" t="s" s="88">
        <v>401</v>
      </c>
    </row>
    <row r="233" s="58" customFormat="1" ht="12.75" customHeight="1" hidden="1">
      <c r="AA233" t="s" s="88">
        <v>402</v>
      </c>
    </row>
    <row r="234" s="58" customFormat="1" ht="12.75" customHeight="1" hidden="1">
      <c r="AA234" t="s" s="88">
        <v>403</v>
      </c>
    </row>
    <row r="235" s="58" customFormat="1" ht="12.75" customHeight="1" hidden="1">
      <c r="AA235" t="s" s="88">
        <v>404</v>
      </c>
    </row>
    <row r="236" s="58" customFormat="1" ht="12.75" customHeight="1" hidden="1">
      <c r="AA236" t="s" s="88">
        <v>405</v>
      </c>
    </row>
    <row r="237" s="58" customFormat="1" ht="12.75" customHeight="1" hidden="1">
      <c r="AA237" t="s" s="88">
        <v>406</v>
      </c>
    </row>
    <row r="238" s="58" customFormat="1" ht="12.75" customHeight="1" hidden="1">
      <c r="AA238" t="s" s="81">
        <v>407</v>
      </c>
    </row>
    <row r="239" s="58" customFormat="1" ht="12.75" customHeight="1" hidden="1">
      <c r="AA239" t="s" s="88">
        <v>408</v>
      </c>
    </row>
    <row r="240" s="58" customFormat="1" ht="12.75" customHeight="1" hidden="1">
      <c r="AA240" t="s" s="88">
        <v>409</v>
      </c>
    </row>
    <row r="241" s="58" customFormat="1" ht="12.75" customHeight="1" hidden="1">
      <c r="AA241" t="s" s="88">
        <v>410</v>
      </c>
    </row>
    <row r="242" s="58" customFormat="1" ht="12.75" customHeight="1" hidden="1">
      <c r="AA242" t="s" s="88">
        <v>411</v>
      </c>
    </row>
    <row r="243" s="58" customFormat="1" ht="12.75" customHeight="1" hidden="1">
      <c r="AA243" t="s" s="81">
        <v>412</v>
      </c>
    </row>
    <row r="244" s="58" customFormat="1" ht="12.75" customHeight="1" hidden="1">
      <c r="AA244" t="s" s="88">
        <v>413</v>
      </c>
    </row>
    <row r="245" s="58" customFormat="1" ht="12.75" customHeight="1" hidden="1">
      <c r="AA245" t="s" s="88">
        <v>414</v>
      </c>
    </row>
    <row r="246" s="58" customFormat="1" ht="12.75" customHeight="1" hidden="1">
      <c r="AA246" t="s" s="88">
        <v>415</v>
      </c>
    </row>
    <row r="247" s="58" customFormat="1" ht="12.75" customHeight="1" hidden="1">
      <c r="AA247" t="s" s="88">
        <v>416</v>
      </c>
    </row>
    <row r="248" s="58" customFormat="1" ht="12.75" customHeight="1" hidden="1">
      <c r="AA248" t="s" s="88">
        <v>417</v>
      </c>
    </row>
    <row r="249" s="58" customFormat="1" ht="12.75" customHeight="1" hidden="1">
      <c r="AA249" t="s" s="88">
        <v>418</v>
      </c>
    </row>
    <row r="250" s="58" customFormat="1" ht="12.75" customHeight="1" hidden="1">
      <c r="AA250" t="s" s="88">
        <v>419</v>
      </c>
    </row>
    <row r="251" s="58" customFormat="1" ht="12.75" customHeight="1" hidden="1">
      <c r="AA251" t="s" s="88">
        <v>420</v>
      </c>
    </row>
    <row r="252" s="58" customFormat="1" ht="12.75" customHeight="1" hidden="1">
      <c r="AA252" t="s" s="88">
        <v>421</v>
      </c>
    </row>
    <row r="253" s="58" customFormat="1" ht="12.75" customHeight="1" hidden="1">
      <c r="AA253" t="s" s="88">
        <v>422</v>
      </c>
    </row>
    <row r="254" s="58" customFormat="1" ht="12.75" customHeight="1" hidden="1">
      <c r="AA254" t="s" s="88">
        <v>423</v>
      </c>
    </row>
    <row r="255" s="58" customFormat="1" ht="12.75" customHeight="1" hidden="1">
      <c r="AA255" t="s" s="81">
        <v>424</v>
      </c>
    </row>
    <row r="256" s="58" customFormat="1" ht="12.75" customHeight="1" hidden="1">
      <c r="AA256" t="s" s="88">
        <v>425</v>
      </c>
    </row>
    <row r="257" s="58" customFormat="1" ht="12.75" customHeight="1" hidden="1">
      <c r="AA257" t="s" s="88">
        <v>426</v>
      </c>
    </row>
    <row r="258" s="58" customFormat="1" ht="12.75" customHeight="1" hidden="1">
      <c r="AA258" t="s" s="88">
        <v>427</v>
      </c>
    </row>
    <row r="259" s="58" customFormat="1" ht="12.75" customHeight="1" hidden="1">
      <c r="AA259" t="s" s="88">
        <v>428</v>
      </c>
    </row>
    <row r="260" s="58" customFormat="1" ht="12.75" customHeight="1" hidden="1">
      <c r="AA260" t="s" s="88">
        <v>429</v>
      </c>
    </row>
    <row r="261" s="58" customFormat="1" ht="12.75" customHeight="1" hidden="1">
      <c r="AA261" t="s" s="88">
        <v>430</v>
      </c>
    </row>
    <row r="262" s="58" customFormat="1" ht="12.75" customHeight="1" hidden="1">
      <c r="AA262" t="s" s="88">
        <v>431</v>
      </c>
    </row>
    <row r="263" s="58" customFormat="1" ht="12.75" customHeight="1" hidden="1">
      <c r="AA263" t="s" s="88">
        <v>432</v>
      </c>
    </row>
    <row r="264" s="58" customFormat="1" ht="12.75" customHeight="1" hidden="1">
      <c r="AA264" t="s" s="88">
        <v>433</v>
      </c>
    </row>
    <row r="265" s="58" customFormat="1" ht="12.75" customHeight="1" hidden="1">
      <c r="AA265" t="s" s="88">
        <v>434</v>
      </c>
    </row>
    <row r="266" s="58" customFormat="1" ht="12.75" customHeight="1" hidden="1">
      <c r="AA266" t="s" s="88">
        <v>435</v>
      </c>
    </row>
    <row r="267" s="58" customFormat="1" ht="12.75" customHeight="1" hidden="1">
      <c r="AA267" t="s" s="88">
        <v>436</v>
      </c>
    </row>
    <row r="268" s="58" customFormat="1" ht="12.75" customHeight="1" hidden="1">
      <c r="AA268" t="s" s="88">
        <v>437</v>
      </c>
    </row>
    <row r="269" s="58" customFormat="1" ht="12.75" customHeight="1" hidden="1">
      <c r="AA269" t="s" s="88">
        <v>438</v>
      </c>
    </row>
    <row r="270" s="58" customFormat="1" ht="12.75" customHeight="1" hidden="1">
      <c r="AA270" t="s" s="88">
        <v>439</v>
      </c>
    </row>
    <row r="271" s="58" customFormat="1" ht="12.75" customHeight="1" hidden="1">
      <c r="AA271" t="s" s="88">
        <v>440</v>
      </c>
    </row>
    <row r="272" s="58" customFormat="1" ht="12.75" customHeight="1" hidden="1">
      <c r="AA272" t="s" s="88">
        <v>441</v>
      </c>
    </row>
    <row r="273" s="58" customFormat="1" ht="12.75" customHeight="1" hidden="1">
      <c r="AA273" t="s" s="88">
        <v>442</v>
      </c>
    </row>
    <row r="274" s="58" customFormat="1" ht="12.75" customHeight="1" hidden="1">
      <c r="AA274" t="s" s="88">
        <v>443</v>
      </c>
    </row>
    <row r="275" s="58" customFormat="1" ht="12.75" customHeight="1" hidden="1">
      <c r="AA275" t="s" s="81">
        <v>444</v>
      </c>
    </row>
    <row r="276" s="58" customFormat="1" ht="12.75" customHeight="1" hidden="1">
      <c r="AA276" t="s" s="88">
        <v>445</v>
      </c>
    </row>
    <row r="277" s="58" customFormat="1" ht="12.75" customHeight="1" hidden="1">
      <c r="AA277" t="s" s="88">
        <v>446</v>
      </c>
    </row>
    <row r="278" s="58" customFormat="1" ht="12.75" customHeight="1" hidden="1">
      <c r="AA278" t="s" s="88">
        <v>447</v>
      </c>
    </row>
    <row r="279" s="58" customFormat="1" ht="12.75" customHeight="1" hidden="1">
      <c r="AA279" t="s" s="88">
        <v>448</v>
      </c>
    </row>
    <row r="280" s="58" customFormat="1" ht="12.75" customHeight="1" hidden="1">
      <c r="AA280" t="s" s="88">
        <v>449</v>
      </c>
    </row>
    <row r="281" s="58" customFormat="1" ht="12.75" customHeight="1" hidden="1">
      <c r="AA281" t="s" s="88">
        <v>450</v>
      </c>
    </row>
    <row r="282" s="58" customFormat="1" ht="12.75" customHeight="1" hidden="1">
      <c r="AA282" t="s" s="88">
        <v>451</v>
      </c>
    </row>
    <row r="283" s="58" customFormat="1" ht="12.75" customHeight="1" hidden="1">
      <c r="AA283" t="s" s="81">
        <v>452</v>
      </c>
    </row>
    <row r="284" s="58" customFormat="1" ht="12.75" customHeight="1" hidden="1">
      <c r="AA284" t="s" s="88">
        <v>453</v>
      </c>
    </row>
    <row r="285" s="58" customFormat="1" ht="12.75" customHeight="1" hidden="1">
      <c r="AA285" t="s" s="88">
        <v>454</v>
      </c>
    </row>
    <row r="286" s="58" customFormat="1" ht="12.75" customHeight="1" hidden="1">
      <c r="AA286" t="s" s="88">
        <v>455</v>
      </c>
    </row>
    <row r="287" s="58" customFormat="1" ht="12.75" customHeight="1" hidden="1">
      <c r="AA287" t="s" s="183">
        <v>456</v>
      </c>
    </row>
    <row r="288" s="58" customFormat="1" ht="12.75" customHeight="1" hidden="1">
      <c r="AA288" t="s" s="88">
        <v>457</v>
      </c>
    </row>
    <row r="289" s="58" customFormat="1" ht="12.75" customHeight="1" hidden="1">
      <c r="AA289" t="s" s="88">
        <v>458</v>
      </c>
    </row>
    <row r="290" s="58" customFormat="1" ht="12.75" customHeight="1" hidden="1">
      <c r="AA290" t="s" s="88">
        <v>459</v>
      </c>
    </row>
    <row r="291" s="58" customFormat="1" ht="12.75" customHeight="1" hidden="1">
      <c r="AA291" t="s" s="88">
        <v>460</v>
      </c>
    </row>
    <row r="292" s="58" customFormat="1" ht="12.75" customHeight="1" hidden="1">
      <c r="AA292" t="s" s="88">
        <v>461</v>
      </c>
    </row>
    <row r="293" s="58" customFormat="1" ht="12.75" customHeight="1" hidden="1">
      <c r="AA293" t="s" s="88">
        <v>462</v>
      </c>
    </row>
    <row r="294" s="58" customFormat="1" ht="12.75" customHeight="1" hidden="1">
      <c r="AA294" t="s" s="88">
        <v>463</v>
      </c>
    </row>
    <row r="295" s="58" customFormat="1" ht="12.75" customHeight="1" hidden="1">
      <c r="AA295" t="s" s="88">
        <v>464</v>
      </c>
    </row>
    <row r="296" s="58" customFormat="1" ht="12.75" customHeight="1" hidden="1">
      <c r="AA296" t="s" s="88">
        <v>465</v>
      </c>
    </row>
    <row r="297" s="58" customFormat="1" ht="12.75" customHeight="1" hidden="1">
      <c r="AA297" t="s" s="81">
        <v>466</v>
      </c>
    </row>
    <row r="298" s="58" customFormat="1" ht="12.75" customHeight="1" hidden="1">
      <c r="AA298" t="s" s="88">
        <v>467</v>
      </c>
    </row>
    <row r="299" s="58" customFormat="1" ht="12.75" customHeight="1" hidden="1">
      <c r="AA299" t="s" s="88">
        <v>468</v>
      </c>
    </row>
    <row r="300" s="58" customFormat="1" ht="12.75" customHeight="1" hidden="1">
      <c r="AA300" t="s" s="88">
        <v>469</v>
      </c>
    </row>
    <row r="301" s="58" customFormat="1" ht="12.75" customHeight="1" hidden="1">
      <c r="AA301" t="s" s="88">
        <v>470</v>
      </c>
    </row>
    <row r="302" s="58" customFormat="1" ht="12.75" customHeight="1" hidden="1">
      <c r="AA302" t="s" s="88">
        <v>471</v>
      </c>
    </row>
    <row r="303" s="58" customFormat="1" ht="12.75" customHeight="1" hidden="1">
      <c r="AA303" t="s" s="88">
        <v>472</v>
      </c>
    </row>
    <row r="304" s="58" customFormat="1" ht="12.75" customHeight="1" hidden="1">
      <c r="AA304" t="s" s="88">
        <v>473</v>
      </c>
    </row>
    <row r="305" s="58" customFormat="1" ht="12.75" customHeight="1" hidden="1">
      <c r="AA305" t="s" s="88">
        <v>474</v>
      </c>
    </row>
    <row r="306" s="58" customFormat="1" ht="12.75" customHeight="1" hidden="1">
      <c r="AA306" t="s" s="88">
        <v>475</v>
      </c>
    </row>
    <row r="307" s="58" customFormat="1" ht="12.75" customHeight="1" hidden="1">
      <c r="AA307" t="s" s="88">
        <v>476</v>
      </c>
    </row>
    <row r="308" s="58" customFormat="1" ht="12.75" customHeight="1" hidden="1">
      <c r="AA308" t="s" s="88">
        <v>477</v>
      </c>
    </row>
    <row r="309" s="58" customFormat="1" ht="12.75" customHeight="1" hidden="1">
      <c r="AA309" t="s" s="88">
        <v>478</v>
      </c>
    </row>
    <row r="310" s="58" customFormat="1" ht="12.75" customHeight="1" hidden="1">
      <c r="AA310" t="s" s="88">
        <v>479</v>
      </c>
    </row>
    <row r="311" s="58" customFormat="1" ht="12.75" customHeight="1" hidden="1">
      <c r="AA311" t="s" s="88">
        <v>480</v>
      </c>
    </row>
    <row r="312" s="58" customFormat="1" ht="12.75" customHeight="1" hidden="1">
      <c r="AA312" t="s" s="88">
        <v>481</v>
      </c>
    </row>
    <row r="313" s="58" customFormat="1" ht="12.75" customHeight="1" hidden="1">
      <c r="AA313" t="s" s="88">
        <v>482</v>
      </c>
    </row>
    <row r="314" s="58" customFormat="1" ht="12.75" customHeight="1" hidden="1">
      <c r="AA314" t="s" s="88">
        <v>483</v>
      </c>
    </row>
    <row r="315" s="58" customFormat="1" ht="12.75" customHeight="1" hidden="1">
      <c r="AA315" t="s" s="88">
        <v>484</v>
      </c>
    </row>
    <row r="316" s="58" customFormat="1" ht="12.75" customHeight="1" hidden="1">
      <c r="AA316" t="s" s="81">
        <v>485</v>
      </c>
    </row>
    <row r="317" s="58" customFormat="1" ht="12.75" customHeight="1" hidden="1">
      <c r="AA317" t="s" s="88">
        <v>486</v>
      </c>
    </row>
    <row r="318" s="58" customFormat="1" ht="12.75" customHeight="1" hidden="1">
      <c r="AA318" t="s" s="88">
        <v>487</v>
      </c>
    </row>
    <row r="319" s="58" customFormat="1" ht="12.75" customHeight="1" hidden="1">
      <c r="AA319" t="s" s="88">
        <v>488</v>
      </c>
    </row>
    <row r="320" s="58" customFormat="1" ht="12.75" customHeight="1" hidden="1">
      <c r="AA320" t="s" s="88">
        <v>489</v>
      </c>
    </row>
    <row r="321" s="58" customFormat="1" ht="12.75" customHeight="1" hidden="1">
      <c r="AA321" t="s" s="88">
        <v>490</v>
      </c>
    </row>
    <row r="322" s="58" customFormat="1" ht="12.75" customHeight="1" hidden="1">
      <c r="AA322" t="s" s="88">
        <v>491</v>
      </c>
    </row>
    <row r="323" s="58" customFormat="1" ht="12.75" customHeight="1" hidden="1">
      <c r="AA323" t="s" s="88">
        <v>492</v>
      </c>
    </row>
    <row r="324" s="58" customFormat="1" ht="12.75" customHeight="1" hidden="1">
      <c r="AA324" t="s" s="88">
        <v>493</v>
      </c>
    </row>
    <row r="325" s="58" customFormat="1" ht="12.75" customHeight="1" hidden="1">
      <c r="AA325" t="s" s="88">
        <v>494</v>
      </c>
    </row>
    <row r="326" s="58" customFormat="1" ht="12.75" customHeight="1" hidden="1">
      <c r="AA326" t="s" s="88">
        <v>495</v>
      </c>
    </row>
    <row r="327" s="58" customFormat="1" ht="12.75" customHeight="1" hidden="1">
      <c r="AA327" t="s" s="88">
        <v>496</v>
      </c>
    </row>
    <row r="328" s="58" customFormat="1" ht="12.75" customHeight="1" hidden="1">
      <c r="AA328" t="s" s="88">
        <v>497</v>
      </c>
    </row>
    <row r="329" s="58" customFormat="1" ht="12.75" customHeight="1" hidden="1">
      <c r="AA329" t="s" s="88">
        <v>498</v>
      </c>
    </row>
    <row r="330" s="58" customFormat="1" ht="12.75" customHeight="1" hidden="1">
      <c r="AA330" t="s" s="88">
        <v>499</v>
      </c>
    </row>
    <row r="331" s="58" customFormat="1" ht="12.75" customHeight="1" hidden="1">
      <c r="AA331" t="s" s="88">
        <v>500</v>
      </c>
    </row>
    <row r="332" s="58" customFormat="1" ht="12.75" customHeight="1" hidden="1">
      <c r="AA332" t="s" s="88">
        <v>501</v>
      </c>
    </row>
    <row r="333" s="58" customFormat="1" ht="12.75" customHeight="1" hidden="1">
      <c r="AA333" t="s" s="88">
        <v>502</v>
      </c>
    </row>
    <row r="334" s="58" customFormat="1" ht="12.75" customHeight="1" hidden="1">
      <c r="AA334" t="s" s="88">
        <v>503</v>
      </c>
    </row>
    <row r="335" s="58" customFormat="1" ht="12.75" customHeight="1" hidden="1">
      <c r="AA335" t="s" s="88">
        <v>504</v>
      </c>
    </row>
    <row r="336" s="58" customFormat="1" ht="12.75" customHeight="1" hidden="1">
      <c r="AA336" t="s" s="88">
        <v>505</v>
      </c>
    </row>
    <row r="337" s="58" customFormat="1" ht="12.75" customHeight="1" hidden="1">
      <c r="AA337" t="s" s="88">
        <v>506</v>
      </c>
    </row>
    <row r="338" s="58" customFormat="1" ht="12.75" customHeight="1" hidden="1">
      <c r="AA338" t="s" s="88">
        <v>507</v>
      </c>
    </row>
    <row r="339" s="58" customFormat="1" ht="12.75" customHeight="1" hidden="1">
      <c r="AA339" t="s" s="88">
        <v>508</v>
      </c>
    </row>
    <row r="340" s="58" customFormat="1" ht="12.75" customHeight="1" hidden="1">
      <c r="AA340" t="s" s="88">
        <v>509</v>
      </c>
    </row>
    <row r="341" s="58" customFormat="1" ht="12.75" customHeight="1" hidden="1">
      <c r="AA341" t="s" s="88">
        <v>510</v>
      </c>
    </row>
    <row r="342" s="58" customFormat="1" ht="12.75" customHeight="1" hidden="1">
      <c r="AA342" t="s" s="88">
        <v>511</v>
      </c>
    </row>
    <row r="343" s="58" customFormat="1" ht="12.75" customHeight="1" hidden="1">
      <c r="AA343" t="s" s="88">
        <v>512</v>
      </c>
    </row>
    <row r="344" s="58" customFormat="1" ht="12.75" customHeight="1" hidden="1">
      <c r="AA344" t="s" s="88">
        <v>513</v>
      </c>
    </row>
    <row r="345" s="58" customFormat="1" ht="12.75" customHeight="1" hidden="1">
      <c r="AA345" t="s" s="88">
        <v>514</v>
      </c>
    </row>
    <row r="346" s="58" customFormat="1" ht="12.75" customHeight="1" hidden="1">
      <c r="AA346" t="s" s="88">
        <v>515</v>
      </c>
    </row>
    <row r="347" s="58" customFormat="1" ht="12.75" customHeight="1" hidden="1">
      <c r="AA347" t="s" s="88">
        <v>516</v>
      </c>
    </row>
    <row r="348" s="58" customFormat="1" ht="12.75" customHeight="1" hidden="1">
      <c r="AA348" t="s" s="88">
        <v>517</v>
      </c>
    </row>
    <row r="349" s="58" customFormat="1" ht="12.75" customHeight="1" hidden="1">
      <c r="AA349" t="s" s="88">
        <v>518</v>
      </c>
    </row>
    <row r="350" s="58" customFormat="1" ht="12.75" customHeight="1" hidden="1">
      <c r="AA350" t="s" s="88">
        <v>519</v>
      </c>
    </row>
    <row r="351" s="58" customFormat="1" ht="12.75" customHeight="1" hidden="1">
      <c r="AA351" t="s" s="88">
        <v>520</v>
      </c>
    </row>
    <row r="352" s="58" customFormat="1" ht="12.75" customHeight="1" hidden="1">
      <c r="AA352" t="s" s="88">
        <v>521</v>
      </c>
    </row>
    <row r="353" s="58" customFormat="1" ht="12.75" customHeight="1" hidden="1">
      <c r="AA353" t="s" s="88">
        <v>522</v>
      </c>
    </row>
    <row r="354" s="58" customFormat="1" ht="12.75" customHeight="1" hidden="1">
      <c r="AA354" t="s" s="88">
        <v>523</v>
      </c>
    </row>
    <row r="355" s="58" customFormat="1" ht="12.75" customHeight="1" hidden="1">
      <c r="AA355" t="s" s="88">
        <v>524</v>
      </c>
    </row>
    <row r="356" s="58" customFormat="1" ht="12.75" customHeight="1" hidden="1">
      <c r="AA356" t="s" s="88">
        <v>525</v>
      </c>
    </row>
    <row r="357" s="58" customFormat="1" ht="12.75" customHeight="1" hidden="1">
      <c r="AA357" t="s" s="88">
        <v>526</v>
      </c>
    </row>
    <row r="358" s="58" customFormat="1" ht="12.75" customHeight="1" hidden="1">
      <c r="AA358" t="s" s="184">
        <v>527</v>
      </c>
    </row>
    <row r="359" s="58" customFormat="1" ht="12.75" customHeight="1" hidden="1">
      <c r="AA359" t="s" s="184">
        <v>528</v>
      </c>
    </row>
    <row r="360" s="58" customFormat="1" ht="12.75" customHeight="1" hidden="1">
      <c r="AA360" t="s" s="184">
        <v>529</v>
      </c>
    </row>
    <row r="361" s="58" customFormat="1" ht="12.75" customHeight="1" hidden="1">
      <c r="AA361" t="s" s="184">
        <v>530</v>
      </c>
    </row>
    <row r="362" s="58" customFormat="1" ht="12.75" customHeight="1" hidden="1">
      <c r="AA362" t="s" s="184">
        <v>531</v>
      </c>
    </row>
    <row r="363" s="58" customFormat="1" ht="12.75" customHeight="1" hidden="1">
      <c r="AA363" t="s" s="184">
        <v>532</v>
      </c>
    </row>
    <row r="364" s="58" customFormat="1" ht="12.75" customHeight="1" hidden="1">
      <c r="AA364" t="s" s="184">
        <v>533</v>
      </c>
    </row>
    <row r="365" s="58" customFormat="1" ht="12.75" customHeight="1" hidden="1">
      <c r="AA365" t="s" s="184">
        <v>534</v>
      </c>
    </row>
    <row r="366" s="58" customFormat="1" ht="12.75" customHeight="1" hidden="1">
      <c r="AA366" t="s" s="90">
        <v>535</v>
      </c>
    </row>
    <row r="367" s="58" customFormat="1" ht="12.75" customHeight="1" hidden="1">
      <c r="AA367" t="s" s="184">
        <v>536</v>
      </c>
    </row>
    <row r="368" s="58" customFormat="1" ht="12.75" customHeight="1" hidden="1">
      <c r="AA368" t="s" s="184">
        <v>537</v>
      </c>
    </row>
    <row r="369" s="58" customFormat="1" ht="12.75" customHeight="1" hidden="1">
      <c r="AA369" t="s" s="185">
        <v>538</v>
      </c>
    </row>
    <row r="370" s="58" customFormat="1" ht="12.75" customHeight="1" hidden="1">
      <c r="AA370" t="s" s="184">
        <v>539</v>
      </c>
    </row>
    <row r="371" s="58" customFormat="1" ht="12.75" customHeight="1" hidden="1">
      <c r="AA371" t="s" s="184">
        <v>540</v>
      </c>
    </row>
    <row r="372" s="58" customFormat="1" ht="12.75" customHeight="1" hidden="1">
      <c r="AA372" t="s" s="185">
        <v>541</v>
      </c>
    </row>
    <row r="373" s="58" customFormat="1" ht="12.75" customHeight="1" hidden="1">
      <c r="AA373" t="s" s="184">
        <v>542</v>
      </c>
    </row>
    <row r="374" s="58" customFormat="1" ht="12.75" customHeight="1" hidden="1">
      <c r="AA374" t="s" s="184">
        <v>543</v>
      </c>
    </row>
    <row r="375" s="58" customFormat="1" ht="12.75" customHeight="1" hidden="1">
      <c r="AA375" t="s" s="184">
        <v>544</v>
      </c>
    </row>
    <row r="376" s="58" customFormat="1" ht="12.75" customHeight="1" hidden="1">
      <c r="AA376" t="s" s="185">
        <v>545</v>
      </c>
    </row>
    <row r="377" s="58" customFormat="1" ht="12.75" customHeight="1" hidden="1">
      <c r="AA377" t="s" s="184">
        <v>546</v>
      </c>
    </row>
    <row r="378" s="58" customFormat="1" ht="12.75" customHeight="1" hidden="1">
      <c r="AA378" t="s" s="184">
        <v>547</v>
      </c>
    </row>
    <row r="379" s="58" customFormat="1" ht="12.75" customHeight="1" hidden="1">
      <c r="AA379" t="s" s="184">
        <v>548</v>
      </c>
    </row>
    <row r="380" s="58" customFormat="1" ht="12.75" customHeight="1" hidden="1">
      <c r="AA380" t="s" s="184">
        <v>549</v>
      </c>
    </row>
    <row r="381" s="58" customFormat="1" ht="12.75" customHeight="1" hidden="1">
      <c r="AA381" t="s" s="184">
        <v>550</v>
      </c>
    </row>
    <row r="382" s="58" customFormat="1" ht="12.75" customHeight="1" hidden="1">
      <c r="AA382" t="s" s="184">
        <v>551</v>
      </c>
    </row>
    <row r="383" s="58" customFormat="1" ht="12.75" customHeight="1" hidden="1">
      <c r="AA383" t="s" s="184">
        <v>552</v>
      </c>
    </row>
    <row r="384" s="58" customFormat="1" ht="12.75" customHeight="1" hidden="1">
      <c r="AA384" t="s" s="184">
        <v>553</v>
      </c>
    </row>
    <row r="385" s="58" customFormat="1" ht="12.75" customHeight="1" hidden="1">
      <c r="AA385" t="s" s="184">
        <v>554</v>
      </c>
    </row>
    <row r="386" s="58" customFormat="1" ht="12.75" customHeight="1" hidden="1">
      <c r="AA386" t="s" s="184">
        <v>555</v>
      </c>
    </row>
    <row r="387" s="58" customFormat="1" ht="12.75" customHeight="1" hidden="1">
      <c r="AA387" t="s" s="184">
        <v>556</v>
      </c>
    </row>
    <row r="388" s="58" customFormat="1" ht="12.75" customHeight="1" hidden="1">
      <c r="AA388" t="s" s="184">
        <v>557</v>
      </c>
    </row>
    <row r="389" s="58" customFormat="1" ht="12.75" customHeight="1" hidden="1">
      <c r="AA389" t="s" s="184">
        <v>558</v>
      </c>
    </row>
    <row r="390" s="58" customFormat="1" ht="12.75" customHeight="1" hidden="1">
      <c r="AA390" t="s" s="184">
        <v>559</v>
      </c>
    </row>
    <row r="391" s="58" customFormat="1" ht="12.75" customHeight="1" hidden="1">
      <c r="AA391" t="s" s="184">
        <v>560</v>
      </c>
    </row>
    <row r="392" s="58" customFormat="1" ht="13.5" customHeight="1" hidden="1">
      <c r="AA392" t="s" s="186">
        <v>561</v>
      </c>
    </row>
    <row r="395" s="58" customFormat="1" ht="12.75" customHeight="1" hidden="1">
      <c r="AA395" s="187"/>
    </row>
    <row r="396" s="58" customFormat="1" ht="12.75" customHeight="1" hidden="1">
      <c r="AA396" s="187"/>
    </row>
    <row r="397" s="58" customFormat="1" ht="12.75" customHeight="1" hidden="1">
      <c r="AA397" s="187"/>
    </row>
    <row r="398" s="58" customFormat="1" ht="12.75" customHeight="1" hidden="1">
      <c r="AA398" s="188"/>
      <c r="AB398" t="s" s="189">
        <v>562</v>
      </c>
    </row>
    <row r="399" s="58" customFormat="1" ht="12.75" customHeight="1" hidden="1">
      <c r="AA399" s="187"/>
    </row>
    <row r="400" s="58" customFormat="1" ht="13.5" customHeight="1" hidden="1">
      <c r="A400" s="190">
        <v>43563</v>
      </c>
      <c r="AA400" s="191"/>
    </row>
    <row r="401" s="58" customFormat="1" ht="12.75" customHeight="1" hidden="1">
      <c r="A401" s="190">
        <v>42966</v>
      </c>
      <c r="AA401" s="192"/>
    </row>
    <row r="402" s="58" customFormat="1" ht="12.75" customHeight="1" hidden="1">
      <c r="AA402" s="56"/>
    </row>
    <row r="403" s="58" customFormat="1" ht="12.75" customHeight="1" hidden="1">
      <c r="A403" s="190">
        <v>41436</v>
      </c>
      <c r="AA403" s="56"/>
    </row>
    <row r="404" s="58" customFormat="1" ht="12.75" customHeight="1" hidden="1">
      <c r="A404" s="190">
        <v>40630</v>
      </c>
      <c r="AA404" s="56"/>
    </row>
    <row r="405" s="58" customFormat="1" ht="12.75" customHeight="1" hidden="1">
      <c r="AA405" s="56"/>
    </row>
    <row r="406" s="58" customFormat="1" ht="12.75" customHeight="1" hidden="1">
      <c r="A406" s="190">
        <v>40323</v>
      </c>
      <c r="AA406" s="56"/>
    </row>
    <row r="407" s="58" customFormat="1" ht="12.75" customHeight="1" hidden="1">
      <c r="A407" s="190">
        <v>40302</v>
      </c>
      <c r="AA407" s="56"/>
    </row>
    <row r="408" s="58" customFormat="1" ht="12.75" customHeight="1" hidden="1">
      <c r="AA408" s="56"/>
    </row>
    <row r="409" s="58" customFormat="1" ht="12.75" customHeight="1" hidden="1">
      <c r="AA409" s="56"/>
    </row>
    <row r="410" s="58" customFormat="1" ht="12.75" customHeight="1" hidden="1">
      <c r="AA410" s="56"/>
    </row>
    <row r="411" s="58" customFormat="1" ht="12.75" customHeight="1" hidden="1">
      <c r="AA411" s="56"/>
    </row>
    <row r="412" s="58" customFormat="1" ht="12.75" customHeight="1" hidden="1">
      <c r="A412" s="193">
        <v>40287</v>
      </c>
      <c r="AA412" s="56"/>
    </row>
    <row r="413" s="58" customFormat="1" ht="12.75" customHeight="1" hidden="1">
      <c r="AA413" s="56"/>
    </row>
    <row r="414" s="58" customFormat="1" ht="12.75" customHeight="1" hidden="1">
      <c r="AA414" s="56"/>
    </row>
    <row r="415" s="58" customFormat="1" ht="12.75" customHeight="1" hidden="1">
      <c r="AA415" s="56"/>
    </row>
    <row r="416" s="58" customFormat="1" ht="12.75" customHeight="1" hidden="1">
      <c r="AA416" s="56"/>
    </row>
    <row r="417" s="58" customFormat="1" ht="12.75" customHeight="1" hidden="1">
      <c r="AA417" s="56"/>
    </row>
    <row r="418" s="58" customFormat="1" ht="12.75" customHeight="1" hidden="1">
      <c r="AA418" s="56"/>
    </row>
    <row r="419" s="58" customFormat="1" ht="12.75" customHeight="1" hidden="1">
      <c r="AA419" s="56"/>
    </row>
    <row r="420" s="58" customFormat="1" ht="12.75" customHeight="1" hidden="1">
      <c r="AA420" s="56"/>
    </row>
    <row r="421" s="58" customFormat="1" ht="12.75" customHeight="1" hidden="1">
      <c r="AA421" s="56"/>
    </row>
    <row r="422" s="58" customFormat="1" ht="12.75" customHeight="1" hidden="1">
      <c r="AA422" s="56"/>
    </row>
    <row r="423" s="58" customFormat="1" ht="12.75" customHeight="1" hidden="1">
      <c r="AA423" s="56"/>
    </row>
    <row r="424" s="58" customFormat="1" ht="12.75" customHeight="1" hidden="1">
      <c r="AA424" s="56"/>
    </row>
    <row r="425" s="58" customFormat="1" ht="12.75" customHeight="1" hidden="1">
      <c r="AA425" s="56"/>
    </row>
    <row r="426" s="58" customFormat="1" ht="12.75" customHeight="1" hidden="1">
      <c r="AA426" s="56"/>
    </row>
    <row r="427" s="58" customFormat="1" ht="12.75" customHeight="1" hidden="1">
      <c r="AA427" s="56"/>
    </row>
    <row r="428" s="58" customFormat="1" ht="12.75" customHeight="1" hidden="1">
      <c r="AA428" s="56"/>
    </row>
    <row r="429" s="58" customFormat="1" ht="12.75" customHeight="1" hidden="1">
      <c r="AA429" s="56"/>
    </row>
    <row r="430" s="58" customFormat="1" ht="12.75" customHeight="1" hidden="1">
      <c r="AA430" s="56"/>
    </row>
    <row r="431" s="58" customFormat="1" ht="12.75" customHeight="1" hidden="1">
      <c r="AA431" s="56"/>
    </row>
    <row r="432" s="58" customFormat="1" ht="12.75" customHeight="1" hidden="1">
      <c r="AA432" s="56"/>
    </row>
    <row r="433" s="58" customFormat="1" ht="12.75" customHeight="1" hidden="1">
      <c r="AA433" s="56"/>
    </row>
    <row r="434" s="58" customFormat="1" ht="12.75" customHeight="1" hidden="1">
      <c r="AA434" s="56"/>
    </row>
    <row r="435" s="58" customFormat="1" ht="12.75" customHeight="1" hidden="1">
      <c r="AA435" s="56"/>
    </row>
    <row r="436" s="58" customFormat="1" ht="12.75" customHeight="1" hidden="1">
      <c r="AA436" s="56"/>
    </row>
    <row r="437" s="58" customFormat="1" ht="12.75" customHeight="1" hidden="1">
      <c r="AA437" s="56"/>
    </row>
    <row r="438" s="58" customFormat="1" ht="12.75" customHeight="1" hidden="1">
      <c r="AA438" s="56"/>
    </row>
    <row r="439" s="58" customFormat="1" ht="12.75" customHeight="1" hidden="1">
      <c r="AA439" s="56"/>
    </row>
    <row r="440" s="58" customFormat="1" ht="12.75" customHeight="1" hidden="1">
      <c r="AA440" s="56"/>
    </row>
    <row r="441" s="58" customFormat="1" ht="12.75" customHeight="1" hidden="1">
      <c r="AA441" s="56"/>
    </row>
    <row r="442" s="58" customFormat="1" ht="12.75" customHeight="1" hidden="1">
      <c r="AA442" s="56"/>
    </row>
    <row r="443" s="58" customFormat="1" ht="12.75" customHeight="1" hidden="1">
      <c r="AA443" s="56"/>
    </row>
    <row r="444" s="58" customFormat="1" ht="12.75" customHeight="1" hidden="1">
      <c r="AA444" s="56"/>
    </row>
    <row r="445" s="58" customFormat="1" ht="12.75" customHeight="1" hidden="1">
      <c r="AA445" s="56"/>
    </row>
    <row r="446" s="58" customFormat="1" ht="12.75" customHeight="1" hidden="1">
      <c r="AA446" s="56"/>
    </row>
    <row r="447" s="58" customFormat="1" ht="12.75" customHeight="1" hidden="1">
      <c r="AA447" s="56"/>
    </row>
    <row r="448" s="58" customFormat="1" ht="12.75" customHeight="1" hidden="1">
      <c r="AA448" s="56"/>
    </row>
    <row r="449" s="58" customFormat="1" ht="12.75" customHeight="1" hidden="1">
      <c r="AA449" s="56"/>
    </row>
    <row r="450" s="58" customFormat="1" ht="12.75" customHeight="1" hidden="1">
      <c r="AA450" s="56"/>
    </row>
    <row r="451" s="58" customFormat="1" ht="12.75" customHeight="1" hidden="1">
      <c r="AA451" s="56"/>
    </row>
    <row r="452" s="58" customFormat="1" ht="12.75" customHeight="1" hidden="1">
      <c r="AA452" s="56"/>
    </row>
    <row r="453" s="58" customFormat="1" ht="12.75" customHeight="1" hidden="1">
      <c r="AA453" s="56"/>
    </row>
    <row r="454" s="58" customFormat="1" ht="12.75" customHeight="1" hidden="1">
      <c r="AA454" s="56"/>
    </row>
    <row r="455" s="58" customFormat="1" ht="12.75" customHeight="1" hidden="1">
      <c r="AA455" s="56"/>
    </row>
    <row r="456" s="58" customFormat="1" ht="12.75" customHeight="1" hidden="1">
      <c r="AA456" s="56"/>
    </row>
    <row r="457" s="58" customFormat="1" ht="12.75" customHeight="1" hidden="1">
      <c r="AA457" s="56"/>
    </row>
    <row r="458" s="58" customFormat="1" ht="12.75" customHeight="1" hidden="1">
      <c r="AA458" s="56"/>
    </row>
    <row r="459" s="58" customFormat="1" ht="12.75" customHeight="1" hidden="1">
      <c r="AA459" s="56"/>
    </row>
    <row r="460" s="58" customFormat="1" ht="12.75" customHeight="1" hidden="1">
      <c r="AA460" s="56"/>
    </row>
    <row r="461" s="58" customFormat="1" ht="12.75" customHeight="1" hidden="1">
      <c r="AA461" s="56"/>
    </row>
    <row r="462" s="58" customFormat="1" ht="12.75" customHeight="1" hidden="1">
      <c r="AA462" s="56"/>
    </row>
    <row r="463" s="58" customFormat="1" ht="12.75" customHeight="1" hidden="1">
      <c r="AA463" s="56"/>
    </row>
    <row r="464" s="58" customFormat="1" ht="12.75" customHeight="1" hidden="1">
      <c r="AA464" s="56"/>
    </row>
    <row r="465" s="58" customFormat="1" ht="12.75" customHeight="1" hidden="1">
      <c r="AA465" s="56"/>
    </row>
    <row r="466" s="58" customFormat="1" ht="12.75" customHeight="1" hidden="1">
      <c r="AA466" s="56"/>
    </row>
    <row r="467" s="58" customFormat="1" ht="12.75" customHeight="1" hidden="1">
      <c r="AA467" s="56"/>
    </row>
    <row r="468" s="58" customFormat="1" ht="12.75" customHeight="1" hidden="1">
      <c r="AA468" s="56"/>
    </row>
    <row r="469" s="58" customFormat="1" ht="12.75" customHeight="1" hidden="1">
      <c r="AA469" s="56"/>
    </row>
    <row r="470" s="58" customFormat="1" ht="12.75" customHeight="1" hidden="1">
      <c r="AA470" s="56"/>
    </row>
    <row r="471" s="58" customFormat="1" ht="12.75" customHeight="1" hidden="1">
      <c r="AA471" s="56"/>
    </row>
    <row r="472" s="58" customFormat="1" ht="12.75" customHeight="1" hidden="1">
      <c r="AA472" s="56"/>
    </row>
    <row r="473" s="58" customFormat="1" ht="12.75" customHeight="1" hidden="1">
      <c r="AA473" s="56"/>
    </row>
    <row r="474" s="58" customFormat="1" ht="12.75" customHeight="1" hidden="1">
      <c r="AA474" s="56"/>
    </row>
    <row r="475" s="58" customFormat="1" ht="12.75" customHeight="1" hidden="1">
      <c r="AA475" s="56"/>
    </row>
    <row r="476" s="58" customFormat="1" ht="12.75" customHeight="1" hidden="1">
      <c r="AA476" s="56"/>
    </row>
    <row r="477" s="58" customFormat="1" ht="12.75" customHeight="1" hidden="1">
      <c r="AA477" s="56"/>
    </row>
    <row r="478" s="58" customFormat="1" ht="12.75" customHeight="1" hidden="1">
      <c r="AA478" s="56"/>
    </row>
    <row r="479" s="58" customFormat="1" ht="12.75" customHeight="1" hidden="1">
      <c r="AA479" s="56"/>
    </row>
    <row r="480" s="58" customFormat="1" ht="12.75" customHeight="1" hidden="1">
      <c r="AA480" s="56"/>
    </row>
    <row r="481" s="58" customFormat="1" ht="12.75" customHeight="1" hidden="1">
      <c r="AA481" s="56"/>
    </row>
    <row r="482" s="58" customFormat="1" ht="12.75" customHeight="1" hidden="1">
      <c r="AA482" s="56"/>
    </row>
    <row r="483" s="58" customFormat="1" ht="12.75" customHeight="1" hidden="1">
      <c r="AA483" s="56"/>
    </row>
    <row r="484" s="58" customFormat="1" ht="12.75" customHeight="1" hidden="1">
      <c r="AA484" s="56"/>
    </row>
    <row r="485" s="58" customFormat="1" ht="12.75" customHeight="1" hidden="1">
      <c r="AA485" s="56"/>
    </row>
    <row r="486" s="58" customFormat="1" ht="12.75" customHeight="1" hidden="1">
      <c r="AA486" s="56"/>
    </row>
    <row r="487" s="58" customFormat="1" ht="12.75" customHeight="1" hidden="1">
      <c r="AA487" s="56"/>
    </row>
    <row r="488" s="58" customFormat="1" ht="12.75" customHeight="1" hidden="1">
      <c r="AA488" s="56"/>
    </row>
    <row r="489" s="58" customFormat="1" ht="12.75" customHeight="1" hidden="1">
      <c r="AA489" s="56"/>
    </row>
    <row r="490" s="58" customFormat="1" ht="12.75" customHeight="1" hidden="1">
      <c r="AA490" s="56"/>
    </row>
    <row r="491" s="58" customFormat="1" ht="12.75" customHeight="1" hidden="1">
      <c r="AA491" s="56"/>
    </row>
    <row r="492" s="58" customFormat="1" ht="12.75" customHeight="1" hidden="1">
      <c r="AA492" s="56"/>
    </row>
    <row r="493" s="58" customFormat="1" ht="12.75" customHeight="1" hidden="1">
      <c r="AA493" s="56"/>
    </row>
    <row r="494" s="58" customFormat="1" ht="12.75" customHeight="1" hidden="1">
      <c r="AA494" s="56"/>
    </row>
    <row r="495" s="58" customFormat="1" ht="12.75" customHeight="1" hidden="1">
      <c r="AA495" s="56"/>
    </row>
    <row r="496" s="58" customFormat="1" ht="12.75" customHeight="1" hidden="1">
      <c r="AA496" s="56"/>
    </row>
    <row r="497" s="58" customFormat="1" ht="12.75" customHeight="1" hidden="1">
      <c r="AA497" s="56"/>
    </row>
    <row r="498" s="58" customFormat="1" ht="12.75" customHeight="1" hidden="1">
      <c r="AA498" s="56"/>
    </row>
    <row r="499" s="58" customFormat="1" ht="12.75" customHeight="1" hidden="1">
      <c r="AA499" s="56"/>
    </row>
    <row r="500" s="58" customFormat="1" ht="12.75" customHeight="1" hidden="1">
      <c r="AA500" s="56"/>
    </row>
    <row r="501" s="58" customFormat="1" ht="12.75" customHeight="1" hidden="1">
      <c r="AA501" s="56"/>
    </row>
    <row r="502" s="58" customFormat="1" ht="12.75" customHeight="1" hidden="1">
      <c r="AA502" s="56"/>
    </row>
    <row r="503" s="58" customFormat="1" ht="12.75" customHeight="1" hidden="1">
      <c r="AA503" s="56"/>
    </row>
    <row r="504" s="58" customFormat="1" ht="12.75" customHeight="1" hidden="1">
      <c r="AA504" s="56"/>
    </row>
    <row r="505" s="58" customFormat="1" ht="12.75" customHeight="1" hidden="1">
      <c r="AA505" s="56"/>
    </row>
    <row r="506" s="58" customFormat="1" ht="12.75" customHeight="1" hidden="1">
      <c r="AA506" s="56"/>
    </row>
    <row r="507" s="58" customFormat="1" ht="12.75" customHeight="1" hidden="1">
      <c r="AA507" s="56"/>
    </row>
    <row r="508" s="58" customFormat="1" ht="12.75" customHeight="1" hidden="1">
      <c r="AA508" s="56"/>
    </row>
    <row r="509" s="58" customFormat="1" ht="12.75" customHeight="1" hidden="1">
      <c r="AA509" s="56"/>
    </row>
    <row r="510" s="58" customFormat="1" ht="12.75" customHeight="1" hidden="1">
      <c r="AA510" s="56"/>
    </row>
    <row r="511" s="58" customFormat="1" ht="12.75" customHeight="1" hidden="1">
      <c r="AA511" s="56"/>
    </row>
    <row r="512" s="58" customFormat="1" ht="12.75" customHeight="1" hidden="1">
      <c r="AA512" s="56"/>
    </row>
    <row r="513" s="58" customFormat="1" ht="12.75" customHeight="1" hidden="1">
      <c r="AA513" s="56"/>
    </row>
    <row r="514" s="58" customFormat="1" ht="12.75" customHeight="1" hidden="1">
      <c r="AA514" s="56"/>
    </row>
    <row r="515" s="58" customFormat="1" ht="12.75" customHeight="1" hidden="1">
      <c r="AA515" s="56"/>
    </row>
    <row r="516" s="58" customFormat="1" ht="12.75" customHeight="1" hidden="1">
      <c r="AA516" s="56"/>
    </row>
    <row r="517" s="58" customFormat="1" ht="12.75" customHeight="1" hidden="1">
      <c r="AA517" s="56"/>
    </row>
    <row r="518" s="58" customFormat="1" ht="12.75" customHeight="1" hidden="1">
      <c r="AA518" s="56"/>
    </row>
    <row r="519" s="58" customFormat="1" ht="12.75" customHeight="1" hidden="1">
      <c r="AA519" s="56"/>
    </row>
    <row r="520" s="58" customFormat="1" ht="12.75" customHeight="1" hidden="1">
      <c r="AA520" s="56"/>
    </row>
    <row r="521" s="58" customFormat="1" ht="12.75" customHeight="1" hidden="1">
      <c r="AA521" s="56"/>
    </row>
    <row r="522" s="58" customFormat="1" ht="12.75" customHeight="1" hidden="1">
      <c r="AA522" s="56"/>
    </row>
    <row r="523" s="58" customFormat="1" ht="12.75" customHeight="1" hidden="1">
      <c r="AA523" s="56"/>
    </row>
    <row r="524" s="58" customFormat="1" ht="12.75" customHeight="1" hidden="1">
      <c r="AA524" s="56"/>
    </row>
    <row r="525" s="58" customFormat="1" ht="12.75" customHeight="1" hidden="1">
      <c r="AA525" s="56"/>
    </row>
    <row r="526" s="58" customFormat="1" ht="12.75" customHeight="1" hidden="1">
      <c r="AA526" s="56"/>
    </row>
    <row r="527" s="58" customFormat="1" ht="12.75" customHeight="1" hidden="1">
      <c r="AA527" s="56"/>
    </row>
    <row r="528" s="58" customFormat="1" ht="12.75" customHeight="1" hidden="1">
      <c r="AA528" s="56"/>
    </row>
    <row r="529" s="58" customFormat="1" ht="12.75" customHeight="1" hidden="1">
      <c r="AA529" s="56"/>
    </row>
    <row r="530" s="58" customFormat="1" ht="12.75" customHeight="1" hidden="1">
      <c r="AA530" s="56"/>
    </row>
    <row r="531" s="58" customFormat="1" ht="12.75" customHeight="1" hidden="1">
      <c r="AA531" s="56"/>
    </row>
    <row r="532" s="58" customFormat="1" ht="12.75" customHeight="1" hidden="1">
      <c r="AA532" s="56"/>
    </row>
    <row r="533" s="58" customFormat="1" ht="12.75" customHeight="1" hidden="1">
      <c r="AA533" s="56"/>
    </row>
    <row r="534" s="58" customFormat="1" ht="12.75" customHeight="1" hidden="1">
      <c r="AA534" s="56"/>
    </row>
    <row r="535" s="58" customFormat="1" ht="12.75" customHeight="1" hidden="1">
      <c r="AA535" s="56"/>
    </row>
    <row r="536" s="58" customFormat="1" ht="12.75" customHeight="1" hidden="1">
      <c r="AA536" s="56"/>
    </row>
    <row r="537" s="58" customFormat="1" ht="12.75" customHeight="1" hidden="1">
      <c r="AA537" s="56"/>
    </row>
    <row r="538" s="58" customFormat="1" ht="12.75" customHeight="1" hidden="1">
      <c r="AA538" s="56"/>
    </row>
    <row r="539" s="58" customFormat="1" ht="12.75" customHeight="1" hidden="1">
      <c r="AA539" s="56"/>
    </row>
    <row r="540" s="58" customFormat="1" ht="12.75" customHeight="1" hidden="1">
      <c r="AA540" s="56"/>
    </row>
    <row r="541" s="58" customFormat="1" ht="12.75" customHeight="1" hidden="1">
      <c r="AA541" s="56"/>
    </row>
    <row r="542" s="58" customFormat="1" ht="12.75" customHeight="1" hidden="1">
      <c r="AA542" s="56"/>
    </row>
    <row r="543" s="58" customFormat="1" ht="12.75" customHeight="1" hidden="1">
      <c r="AA543" s="56"/>
    </row>
    <row r="544" s="58" customFormat="1" ht="12.75" customHeight="1" hidden="1">
      <c r="AA544" s="56"/>
    </row>
    <row r="545" s="58" customFormat="1" ht="12.75" customHeight="1" hidden="1">
      <c r="AA545" s="56"/>
    </row>
    <row r="546" s="58" customFormat="1" ht="12.75" customHeight="1" hidden="1">
      <c r="AA546" s="56"/>
    </row>
    <row r="547" s="58" customFormat="1" ht="12.75" customHeight="1" hidden="1">
      <c r="AA547" s="56"/>
    </row>
    <row r="548" s="58" customFormat="1" ht="12.75" customHeight="1" hidden="1">
      <c r="AA548" s="56"/>
    </row>
    <row r="549" s="58" customFormat="1" ht="12.75" customHeight="1" hidden="1">
      <c r="AA549" s="56"/>
    </row>
    <row r="550" s="58" customFormat="1" ht="12.75" customHeight="1" hidden="1">
      <c r="AA550" s="56"/>
    </row>
    <row r="551" s="58" customFormat="1" ht="12.75" customHeight="1" hidden="1">
      <c r="AA551" s="56"/>
    </row>
    <row r="552" s="58" customFormat="1" ht="12.75" customHeight="1" hidden="1">
      <c r="AA552" s="56"/>
    </row>
    <row r="553" s="58" customFormat="1" ht="12.75" customHeight="1" hidden="1">
      <c r="AA553" s="56"/>
    </row>
    <row r="554" s="58" customFormat="1" ht="12.75" customHeight="1" hidden="1">
      <c r="AA554" s="56"/>
    </row>
    <row r="555" s="58" customFormat="1" ht="12.75" customHeight="1" hidden="1">
      <c r="AA555" s="56"/>
    </row>
    <row r="556" s="58" customFormat="1" ht="12.75" customHeight="1" hidden="1">
      <c r="AA556" s="56"/>
    </row>
    <row r="557" s="58" customFormat="1" ht="12.75" customHeight="1" hidden="1">
      <c r="AA557" s="56"/>
    </row>
    <row r="558" s="58" customFormat="1" ht="12.75" customHeight="1" hidden="1">
      <c r="AA558" s="56"/>
    </row>
    <row r="559" s="58" customFormat="1" ht="12.75" customHeight="1" hidden="1">
      <c r="AA559" s="56"/>
    </row>
    <row r="560" s="58" customFormat="1" ht="12.75" customHeight="1" hidden="1">
      <c r="AA560" s="56"/>
    </row>
    <row r="561" s="58" customFormat="1" ht="12.75" customHeight="1" hidden="1">
      <c r="AA561" s="56"/>
    </row>
    <row r="562" s="58" customFormat="1" ht="12.75" customHeight="1" hidden="1">
      <c r="AA562" s="56"/>
    </row>
    <row r="563" s="58" customFormat="1" ht="12.75" customHeight="1" hidden="1">
      <c r="AA563" s="56"/>
    </row>
    <row r="564" s="58" customFormat="1" ht="12.75" customHeight="1" hidden="1">
      <c r="AA564" s="56"/>
    </row>
    <row r="565" s="58" customFormat="1" ht="12.75" customHeight="1" hidden="1">
      <c r="AA565" s="56"/>
    </row>
    <row r="566" s="58" customFormat="1" ht="12.75" customHeight="1" hidden="1">
      <c r="AA566" s="56"/>
    </row>
    <row r="567" s="58" customFormat="1" ht="12.75" customHeight="1" hidden="1">
      <c r="AA567" s="56"/>
    </row>
    <row r="568" s="58" customFormat="1" ht="12.75" customHeight="1" hidden="1">
      <c r="AA568" s="56"/>
    </row>
    <row r="569" s="58" customFormat="1" ht="12.75" customHeight="1" hidden="1">
      <c r="AA569" s="56"/>
    </row>
    <row r="570" s="58" customFormat="1" ht="12.75" customHeight="1" hidden="1">
      <c r="AA570" s="56"/>
    </row>
    <row r="571" s="58" customFormat="1" ht="12.75" customHeight="1" hidden="1">
      <c r="AA571" s="56"/>
    </row>
    <row r="572" s="58" customFormat="1" ht="12.75" customHeight="1" hidden="1">
      <c r="AA572" s="56"/>
    </row>
    <row r="573" s="58" customFormat="1" ht="12.75" customHeight="1" hidden="1">
      <c r="AA573" s="56"/>
    </row>
    <row r="574" s="58" customFormat="1" ht="12.75" customHeight="1" hidden="1">
      <c r="AA574" s="56"/>
    </row>
    <row r="575" s="58" customFormat="1" ht="12.75" customHeight="1" hidden="1">
      <c r="AA575" s="56"/>
    </row>
    <row r="576" s="58" customFormat="1" ht="12.75" customHeight="1" hidden="1">
      <c r="AA576" s="56"/>
    </row>
    <row r="577" s="58" customFormat="1" ht="12.75" customHeight="1" hidden="1">
      <c r="AA577" s="56"/>
    </row>
    <row r="578" s="58" customFormat="1" ht="12.75" customHeight="1" hidden="1">
      <c r="AA578" s="56"/>
    </row>
    <row r="579" s="58" customFormat="1" ht="12.75" customHeight="1" hidden="1">
      <c r="AA579" s="56"/>
    </row>
    <row r="580" s="58" customFormat="1" ht="12.75" customHeight="1" hidden="1">
      <c r="AA580" s="56"/>
    </row>
    <row r="581" s="58" customFormat="1" ht="12.75" customHeight="1" hidden="1">
      <c r="AA581" s="56"/>
    </row>
    <row r="582" s="58" customFormat="1" ht="12.75" customHeight="1" hidden="1">
      <c r="AA582" s="56"/>
    </row>
    <row r="583" s="58" customFormat="1" ht="12.75" customHeight="1" hidden="1">
      <c r="AA583" s="56"/>
    </row>
    <row r="584" s="58" customFormat="1" ht="12.75" customHeight="1" hidden="1">
      <c r="AA584" s="56"/>
    </row>
    <row r="585" s="58" customFormat="1" ht="12.75" customHeight="1" hidden="1">
      <c r="AA585" s="56"/>
    </row>
    <row r="586" s="58" customFormat="1" ht="12.75" customHeight="1" hidden="1">
      <c r="AA586" s="56"/>
    </row>
    <row r="587" s="58" customFormat="1" ht="12.75" customHeight="1" hidden="1">
      <c r="AA587" s="56"/>
    </row>
    <row r="588" s="58" customFormat="1" ht="12.75" customHeight="1" hidden="1">
      <c r="AA588" s="56"/>
    </row>
    <row r="589" s="58" customFormat="1" ht="12.75" customHeight="1" hidden="1">
      <c r="AA589" s="56"/>
    </row>
    <row r="590" s="58" customFormat="1" ht="12.75" customHeight="1" hidden="1">
      <c r="AA590" s="56"/>
    </row>
    <row r="591" s="58" customFormat="1" ht="12.75" customHeight="1" hidden="1">
      <c r="AA591" s="56"/>
    </row>
    <row r="592" s="58" customFormat="1" ht="12.75" customHeight="1" hidden="1">
      <c r="AA592" s="56"/>
    </row>
    <row r="593" s="58" customFormat="1" ht="12.75" customHeight="1" hidden="1">
      <c r="AA593" s="56"/>
    </row>
    <row r="594" s="58" customFormat="1" ht="12.75" customHeight="1" hidden="1">
      <c r="AA594" s="56"/>
    </row>
    <row r="595" s="58" customFormat="1" ht="12.75" customHeight="1" hidden="1">
      <c r="AA595" s="56"/>
    </row>
    <row r="596" s="58" customFormat="1" ht="12.75" customHeight="1" hidden="1">
      <c r="AA596" s="56"/>
    </row>
    <row r="597" s="58" customFormat="1" ht="12.75" customHeight="1" hidden="1">
      <c r="AA597" s="56"/>
    </row>
    <row r="598" s="58" customFormat="1" ht="12.75" customHeight="1" hidden="1">
      <c r="AA598" s="56"/>
    </row>
    <row r="599" s="58" customFormat="1" ht="12.75" customHeight="1" hidden="1">
      <c r="AA599" s="56"/>
    </row>
    <row r="600" s="58" customFormat="1" ht="12.75" customHeight="1" hidden="1">
      <c r="AA600" s="56"/>
    </row>
    <row r="601" s="58" customFormat="1" ht="12.75" customHeight="1" hidden="1">
      <c r="AA601" s="56"/>
    </row>
    <row r="602" s="58" customFormat="1" ht="12.75" customHeight="1" hidden="1">
      <c r="AA602" s="56"/>
    </row>
    <row r="603" s="58" customFormat="1" ht="12.75" customHeight="1" hidden="1">
      <c r="AA603" s="56"/>
    </row>
    <row r="604" s="58" customFormat="1" ht="12.75" customHeight="1" hidden="1">
      <c r="AA604" s="56"/>
    </row>
    <row r="605" s="58" customFormat="1" ht="12.75" customHeight="1" hidden="1">
      <c r="AA605" s="56"/>
    </row>
    <row r="606" s="58" customFormat="1" ht="12.75" customHeight="1" hidden="1">
      <c r="AA606" s="56"/>
    </row>
    <row r="607" s="58" customFormat="1" ht="12.75" customHeight="1" hidden="1">
      <c r="AA607" s="56"/>
    </row>
    <row r="608" s="58" customFormat="1" ht="12.75" customHeight="1" hidden="1">
      <c r="AA608" s="56"/>
    </row>
    <row r="609" s="58" customFormat="1" ht="12.75" customHeight="1" hidden="1">
      <c r="AA609" s="56"/>
    </row>
    <row r="610" s="58" customFormat="1" ht="12.75" customHeight="1" hidden="1">
      <c r="AA610" s="56"/>
    </row>
    <row r="611" s="58" customFormat="1" ht="12.75" customHeight="1" hidden="1">
      <c r="AA611" s="56"/>
    </row>
    <row r="612" s="58" customFormat="1" ht="12.75" customHeight="1" hidden="1">
      <c r="AA612" s="56"/>
    </row>
    <row r="613" s="58" customFormat="1" ht="12.75" customHeight="1" hidden="1">
      <c r="AA613" s="56"/>
    </row>
    <row r="614" s="58" customFormat="1" ht="12.75" customHeight="1" hidden="1">
      <c r="AA614" s="56"/>
    </row>
    <row r="615" s="58" customFormat="1" ht="12.75" customHeight="1" hidden="1">
      <c r="AA615" s="56"/>
    </row>
    <row r="616" s="58" customFormat="1" ht="12.75" customHeight="1" hidden="1">
      <c r="AA616" s="56"/>
    </row>
    <row r="617" s="58" customFormat="1" ht="12.75" customHeight="1" hidden="1">
      <c r="AA617" s="56"/>
    </row>
    <row r="618" s="58" customFormat="1" ht="12.75" customHeight="1" hidden="1">
      <c r="AA618" s="56"/>
    </row>
    <row r="619" s="58" customFormat="1" ht="12.75" customHeight="1" hidden="1">
      <c r="AA619" s="56"/>
    </row>
    <row r="620" s="58" customFormat="1" ht="12.75" customHeight="1" hidden="1">
      <c r="AA620" s="56"/>
    </row>
    <row r="621" s="58" customFormat="1" ht="12.75" customHeight="1" hidden="1">
      <c r="AA621" s="56"/>
    </row>
    <row r="622" s="58" customFormat="1" ht="12.75" customHeight="1" hidden="1">
      <c r="AA622" s="56"/>
    </row>
    <row r="623" s="58" customFormat="1" ht="12.75" customHeight="1" hidden="1">
      <c r="AA623" s="56"/>
    </row>
    <row r="624" s="58" customFormat="1" ht="12.75" customHeight="1" hidden="1">
      <c r="AA624" s="56"/>
    </row>
    <row r="625" s="58" customFormat="1" ht="12.75" customHeight="1" hidden="1">
      <c r="AA625" s="56"/>
    </row>
    <row r="626" s="58" customFormat="1" ht="12.75" customHeight="1" hidden="1">
      <c r="AA626" s="56"/>
    </row>
    <row r="627" s="58" customFormat="1" ht="12.75" customHeight="1" hidden="1">
      <c r="AA627" s="56"/>
    </row>
    <row r="628" s="58" customFormat="1" ht="12.75" customHeight="1" hidden="1">
      <c r="AA628" s="56"/>
    </row>
    <row r="629" s="58" customFormat="1" ht="12.75" customHeight="1" hidden="1">
      <c r="AA629" s="56"/>
    </row>
    <row r="630" s="58" customFormat="1" ht="12.75" customHeight="1" hidden="1">
      <c r="AA630" s="56"/>
    </row>
    <row r="631" s="58" customFormat="1" ht="12.75" customHeight="1" hidden="1">
      <c r="AA631" s="56"/>
    </row>
    <row r="632" s="58" customFormat="1" ht="12.75" customHeight="1" hidden="1">
      <c r="AA632" s="56"/>
    </row>
    <row r="633" s="58" customFormat="1" ht="12.75" customHeight="1" hidden="1">
      <c r="AA633" s="56"/>
    </row>
    <row r="634" s="58" customFormat="1" ht="12.75" customHeight="1" hidden="1">
      <c r="AA634" s="56"/>
    </row>
    <row r="635" s="58" customFormat="1" ht="12.75" customHeight="1" hidden="1">
      <c r="AA635" s="56"/>
    </row>
    <row r="636" s="58" customFormat="1" ht="12.75" customHeight="1" hidden="1">
      <c r="AA636" s="56"/>
    </row>
    <row r="637" s="58" customFormat="1" ht="12.75" customHeight="1" hidden="1">
      <c r="AA637" s="56"/>
    </row>
    <row r="638" s="58" customFormat="1" ht="12.75" customHeight="1" hidden="1">
      <c r="AA638" s="56"/>
    </row>
    <row r="639" s="58" customFormat="1" ht="12.75" customHeight="1" hidden="1">
      <c r="AA639" s="56"/>
    </row>
    <row r="640" s="58" customFormat="1" ht="12.75" customHeight="1" hidden="1">
      <c r="AA640" s="56"/>
    </row>
    <row r="641" s="58" customFormat="1" ht="12.75" customHeight="1" hidden="1">
      <c r="AA641" s="56"/>
    </row>
    <row r="642" s="58" customFormat="1" ht="12.75" customHeight="1" hidden="1">
      <c r="AA642" s="56"/>
    </row>
    <row r="643" s="58" customFormat="1" ht="12.75" customHeight="1" hidden="1">
      <c r="AA643" s="56"/>
    </row>
    <row r="644" s="58" customFormat="1" ht="12.75" customHeight="1" hidden="1">
      <c r="AA644" s="56"/>
    </row>
    <row r="645" s="58" customFormat="1" ht="12.75" customHeight="1" hidden="1">
      <c r="AA645" s="56"/>
    </row>
    <row r="646" s="58" customFormat="1" ht="12.75" customHeight="1" hidden="1">
      <c r="AA646" s="56"/>
    </row>
    <row r="647" s="58" customFormat="1" ht="12.75" customHeight="1" hidden="1">
      <c r="AA647" s="56"/>
    </row>
    <row r="648" s="58" customFormat="1" ht="12.75" customHeight="1" hidden="1">
      <c r="AA648" s="56"/>
    </row>
    <row r="649" s="58" customFormat="1" ht="12.75" customHeight="1" hidden="1">
      <c r="AA649" s="56"/>
    </row>
    <row r="650" s="58" customFormat="1" ht="12.75" customHeight="1" hidden="1">
      <c r="AA650" s="56"/>
    </row>
    <row r="651" s="58" customFormat="1" ht="12.75" customHeight="1" hidden="1">
      <c r="AA651" s="56"/>
    </row>
    <row r="652" s="58" customFormat="1" ht="12.75" customHeight="1" hidden="1">
      <c r="AA652" s="56"/>
    </row>
    <row r="653" s="58" customFormat="1" ht="12.75" customHeight="1" hidden="1">
      <c r="AA653" s="56"/>
    </row>
    <row r="654" s="58" customFormat="1" ht="12.75" customHeight="1" hidden="1">
      <c r="AA654" s="56"/>
    </row>
    <row r="655" s="58" customFormat="1" ht="12.75" customHeight="1" hidden="1">
      <c r="AA655" s="56"/>
    </row>
    <row r="656" s="58" customFormat="1" ht="12.75" customHeight="1" hidden="1">
      <c r="AA656" s="56"/>
    </row>
    <row r="657" s="58" customFormat="1" ht="12.75" customHeight="1" hidden="1">
      <c r="AA657" s="56"/>
    </row>
    <row r="658" s="58" customFormat="1" ht="12.75" customHeight="1" hidden="1">
      <c r="AA658" s="56"/>
    </row>
    <row r="659" s="58" customFormat="1" ht="12.75" customHeight="1" hidden="1">
      <c r="AA659" s="56"/>
    </row>
    <row r="660" s="58" customFormat="1" ht="12.75" customHeight="1" hidden="1">
      <c r="AA660" s="56"/>
    </row>
    <row r="661" s="58" customFormat="1" ht="12.75" customHeight="1" hidden="1">
      <c r="AA661" s="56"/>
    </row>
    <row r="662" s="58" customFormat="1" ht="12.75" customHeight="1" hidden="1">
      <c r="AA662" s="56"/>
    </row>
    <row r="663" s="58" customFormat="1" ht="12.75" customHeight="1" hidden="1">
      <c r="AA663" s="56"/>
    </row>
    <row r="664" s="58" customFormat="1" ht="12.75" customHeight="1" hidden="1">
      <c r="AA664" s="56"/>
    </row>
    <row r="665" s="58" customFormat="1" ht="12.75" customHeight="1" hidden="1">
      <c r="AA665" s="56"/>
    </row>
    <row r="666" s="58" customFormat="1" ht="12.75" customHeight="1" hidden="1">
      <c r="AA666" s="56"/>
    </row>
    <row r="667" s="58" customFormat="1" ht="12.75" customHeight="1" hidden="1">
      <c r="AA667" s="56"/>
    </row>
    <row r="668" s="58" customFormat="1" ht="12.75" customHeight="1" hidden="1">
      <c r="AA668" s="56"/>
    </row>
    <row r="669" s="58" customFormat="1" ht="12.75" customHeight="1" hidden="1">
      <c r="AA669" s="56"/>
    </row>
    <row r="670" s="58" customFormat="1" ht="12.75" customHeight="1" hidden="1">
      <c r="AA670" s="56"/>
    </row>
    <row r="671" s="58" customFormat="1" ht="12.75" customHeight="1" hidden="1">
      <c r="AA671" s="56"/>
    </row>
    <row r="672" s="58" customFormat="1" ht="12.75" customHeight="1" hidden="1">
      <c r="AA672" s="56"/>
    </row>
    <row r="673" s="58" customFormat="1" ht="12.75" customHeight="1" hidden="1">
      <c r="AA673" s="56"/>
    </row>
    <row r="674" s="58" customFormat="1" ht="12.75" customHeight="1" hidden="1">
      <c r="AA674" s="56"/>
    </row>
    <row r="675" s="58" customFormat="1" ht="12.75" customHeight="1" hidden="1">
      <c r="AA675" s="56"/>
    </row>
    <row r="676" s="58" customFormat="1" ht="12.75" customHeight="1" hidden="1">
      <c r="AA676" s="56"/>
    </row>
    <row r="677" s="58" customFormat="1" ht="12.75" customHeight="1" hidden="1">
      <c r="AA677" s="56"/>
    </row>
    <row r="678" s="58" customFormat="1" ht="12.75" customHeight="1" hidden="1">
      <c r="AA678" s="56"/>
    </row>
    <row r="679" s="58" customFormat="1" ht="12.75" customHeight="1" hidden="1">
      <c r="AA679" s="56"/>
    </row>
    <row r="680" s="58" customFormat="1" ht="12.75" customHeight="1" hidden="1">
      <c r="AA680" s="56"/>
    </row>
    <row r="681" s="58" customFormat="1" ht="12.75" customHeight="1" hidden="1">
      <c r="AA681" s="56"/>
    </row>
    <row r="682" s="58" customFormat="1" ht="12.75" customHeight="1" hidden="1">
      <c r="AA682" s="56"/>
    </row>
    <row r="683" s="58" customFormat="1" ht="12.75" customHeight="1" hidden="1">
      <c r="AA683" s="56"/>
    </row>
    <row r="684" s="58" customFormat="1" ht="12.75" customHeight="1" hidden="1">
      <c r="AA684" s="56"/>
    </row>
    <row r="685" s="58" customFormat="1" ht="12.75" customHeight="1" hidden="1">
      <c r="AA685" s="56"/>
    </row>
    <row r="686" s="58" customFormat="1" ht="12.75" customHeight="1" hidden="1">
      <c r="AA686" s="56"/>
    </row>
    <row r="687" s="58" customFormat="1" ht="12.75" customHeight="1" hidden="1">
      <c r="AA687" s="56"/>
    </row>
    <row r="688" s="58" customFormat="1" ht="12.75" customHeight="1" hidden="1">
      <c r="AA688" s="56"/>
    </row>
    <row r="689" s="58" customFormat="1" ht="12.75" customHeight="1" hidden="1">
      <c r="AA689" s="56"/>
    </row>
    <row r="690" s="58" customFormat="1" ht="12.75" customHeight="1" hidden="1">
      <c r="AA690" s="56"/>
    </row>
    <row r="691" s="58" customFormat="1" ht="12.75" customHeight="1" hidden="1">
      <c r="AA691" s="56"/>
    </row>
    <row r="692" s="58" customFormat="1" ht="12.75" customHeight="1" hidden="1">
      <c r="AA692" s="56"/>
    </row>
    <row r="693" s="58" customFormat="1" ht="12.75" customHeight="1" hidden="1">
      <c r="AA693" s="56"/>
    </row>
    <row r="694" s="58" customFormat="1" ht="12.75" customHeight="1" hidden="1">
      <c r="AA694" s="56"/>
    </row>
    <row r="695" s="58" customFormat="1" ht="12.75" customHeight="1" hidden="1">
      <c r="AA695" s="56"/>
    </row>
    <row r="696" s="58" customFormat="1" ht="12.75" customHeight="1" hidden="1">
      <c r="AA696" s="56"/>
    </row>
    <row r="697" s="58" customFormat="1" ht="12.75" customHeight="1" hidden="1">
      <c r="AA697" s="56"/>
    </row>
    <row r="698" s="58" customFormat="1" ht="12.75" customHeight="1" hidden="1">
      <c r="AA698" s="56"/>
    </row>
    <row r="699" s="58" customFormat="1" ht="12.75" customHeight="1" hidden="1">
      <c r="AA699" s="56"/>
    </row>
    <row r="700" s="58" customFormat="1" ht="12.75" customHeight="1" hidden="1">
      <c r="AA700" s="56"/>
    </row>
    <row r="701" s="58" customFormat="1" ht="12.75" customHeight="1" hidden="1">
      <c r="AA701" s="56"/>
    </row>
    <row r="702" s="58" customFormat="1" ht="12.75" customHeight="1" hidden="1">
      <c r="AA702" s="56"/>
    </row>
    <row r="703" s="58" customFormat="1" ht="12.75" customHeight="1" hidden="1">
      <c r="AA703" s="56"/>
    </row>
    <row r="704" s="58" customFormat="1" ht="12.75" customHeight="1" hidden="1">
      <c r="AA704" s="56"/>
    </row>
    <row r="705" s="58" customFormat="1" ht="12.75" customHeight="1" hidden="1">
      <c r="AA705" s="56"/>
    </row>
    <row r="706" s="58" customFormat="1" ht="12.75" customHeight="1" hidden="1">
      <c r="AA706" s="56"/>
    </row>
    <row r="707" s="58" customFormat="1" ht="12.75" customHeight="1" hidden="1">
      <c r="AA707" s="56"/>
    </row>
    <row r="708" s="58" customFormat="1" ht="12.75" customHeight="1" hidden="1">
      <c r="AA708" s="56"/>
    </row>
    <row r="709" s="58" customFormat="1" ht="12.75" customHeight="1" hidden="1">
      <c r="AA709" s="56"/>
    </row>
    <row r="710" s="58" customFormat="1" ht="12.75" customHeight="1" hidden="1">
      <c r="AA710" s="56"/>
    </row>
    <row r="711" s="58" customFormat="1" ht="12.75" customHeight="1" hidden="1">
      <c r="AA711" s="56"/>
    </row>
    <row r="712" s="58" customFormat="1" ht="12.75" customHeight="1" hidden="1">
      <c r="AA712" s="56"/>
    </row>
    <row r="713" s="58" customFormat="1" ht="12.75" customHeight="1" hidden="1">
      <c r="AA713" s="56"/>
    </row>
    <row r="714" s="58" customFormat="1" ht="12.75" customHeight="1" hidden="1">
      <c r="AA714" s="56"/>
    </row>
    <row r="715" s="58" customFormat="1" ht="12.75" customHeight="1" hidden="1">
      <c r="AA715" s="56"/>
    </row>
    <row r="716" s="58" customFormat="1" ht="12.75" customHeight="1" hidden="1">
      <c r="AA716" s="56"/>
    </row>
    <row r="717" s="58" customFormat="1" ht="12.75" customHeight="1" hidden="1">
      <c r="AA717" s="56"/>
    </row>
    <row r="718" s="58" customFormat="1" ht="12.75" customHeight="1" hidden="1">
      <c r="AA718" s="56"/>
    </row>
    <row r="719" s="58" customFormat="1" ht="12.75" customHeight="1" hidden="1">
      <c r="AA719" s="56"/>
    </row>
    <row r="720" s="58" customFormat="1" ht="12.75" customHeight="1" hidden="1">
      <c r="AA720" s="56"/>
    </row>
    <row r="721" s="58" customFormat="1" ht="12.75" customHeight="1" hidden="1">
      <c r="AA721" s="56"/>
    </row>
    <row r="722" s="58" customFormat="1" ht="12.75" customHeight="1" hidden="1">
      <c r="AA722" s="56"/>
    </row>
    <row r="723" s="58" customFormat="1" ht="12.75" customHeight="1" hidden="1">
      <c r="AA723" s="56"/>
    </row>
    <row r="724" s="58" customFormat="1" ht="12.75" customHeight="1" hidden="1">
      <c r="AA724" s="56"/>
    </row>
    <row r="725" s="58" customFormat="1" ht="12.75" customHeight="1" hidden="1">
      <c r="AA725" s="56"/>
    </row>
    <row r="726" s="58" customFormat="1" ht="12.75" customHeight="1" hidden="1">
      <c r="AA726" s="56"/>
    </row>
    <row r="727" s="58" customFormat="1" ht="12.75" customHeight="1" hidden="1">
      <c r="AA727" s="56"/>
    </row>
    <row r="728" s="58" customFormat="1" ht="12.75" customHeight="1" hidden="1">
      <c r="AA728" s="56"/>
    </row>
    <row r="729" s="58" customFormat="1" ht="12.75" customHeight="1" hidden="1">
      <c r="AA729" s="56"/>
    </row>
    <row r="730" s="58" customFormat="1" ht="12.75" customHeight="1" hidden="1">
      <c r="AA730" s="56"/>
    </row>
    <row r="731" s="58" customFormat="1" ht="12.75" customHeight="1" hidden="1">
      <c r="AA731" s="56"/>
    </row>
    <row r="732" s="58" customFormat="1" ht="12.75" customHeight="1" hidden="1">
      <c r="AA732" s="56"/>
    </row>
    <row r="733" s="58" customFormat="1" ht="12.75" customHeight="1" hidden="1">
      <c r="AA733" s="56"/>
    </row>
    <row r="734" s="58" customFormat="1" ht="12.75" customHeight="1" hidden="1">
      <c r="AA734" s="56"/>
    </row>
    <row r="735" s="58" customFormat="1" ht="12.75" customHeight="1" hidden="1">
      <c r="AA735" s="56"/>
    </row>
    <row r="736" s="58" customFormat="1" ht="12.75" customHeight="1" hidden="1">
      <c r="AA736" s="56"/>
    </row>
    <row r="737" s="58" customFormat="1" ht="12.75" customHeight="1" hidden="1">
      <c r="AA737" s="56"/>
    </row>
    <row r="738" s="58" customFormat="1" ht="12.75" customHeight="1" hidden="1">
      <c r="AA738" s="56"/>
    </row>
    <row r="739" s="58" customFormat="1" ht="12.75" customHeight="1" hidden="1">
      <c r="AA739" s="56"/>
    </row>
    <row r="740" s="58" customFormat="1" ht="12.75" customHeight="1" hidden="1">
      <c r="AA740" s="56"/>
    </row>
    <row r="741" s="58" customFormat="1" ht="12.75" customHeight="1" hidden="1">
      <c r="AA741" s="56"/>
    </row>
    <row r="742" s="58" customFormat="1" ht="12.75" customHeight="1" hidden="1">
      <c r="AA742" s="56"/>
    </row>
    <row r="743" s="58" customFormat="1" ht="12.75" customHeight="1" hidden="1">
      <c r="AA743" s="56"/>
    </row>
    <row r="744" s="58" customFormat="1" ht="12.75" customHeight="1" hidden="1">
      <c r="AA744" s="56"/>
    </row>
    <row r="745" s="58" customFormat="1" ht="12.75" customHeight="1" hidden="1">
      <c r="AA745" s="56"/>
    </row>
    <row r="746" s="58" customFormat="1" ht="12.75" customHeight="1" hidden="1">
      <c r="AA746" s="56"/>
    </row>
    <row r="747" s="58" customFormat="1" ht="12.75" customHeight="1" hidden="1">
      <c r="AA747" s="56"/>
    </row>
    <row r="748" s="58" customFormat="1" ht="12.75" customHeight="1" hidden="1">
      <c r="AA748" s="56"/>
    </row>
    <row r="749" s="58" customFormat="1" ht="12.75" customHeight="1" hidden="1">
      <c r="AA749" s="56"/>
    </row>
    <row r="750" s="58" customFormat="1" ht="12.75" customHeight="1" hidden="1">
      <c r="AA750" s="56"/>
    </row>
    <row r="751" s="58" customFormat="1" ht="12.75" customHeight="1" hidden="1">
      <c r="AA751" s="56"/>
    </row>
    <row r="752" s="58" customFormat="1" ht="12.75" customHeight="1" hidden="1">
      <c r="AA752" s="56"/>
    </row>
    <row r="753" s="58" customFormat="1" ht="12.75" customHeight="1" hidden="1">
      <c r="AA753" s="56"/>
    </row>
    <row r="754" s="58" customFormat="1" ht="12.75" customHeight="1" hidden="1">
      <c r="AA754" s="56"/>
    </row>
    <row r="755" s="58" customFormat="1" ht="12.75" customHeight="1" hidden="1">
      <c r="AA755" s="56"/>
    </row>
    <row r="756" s="58" customFormat="1" ht="12.75" customHeight="1" hidden="1">
      <c r="AA756" s="56"/>
    </row>
    <row r="757" s="58" customFormat="1" ht="12.75" customHeight="1" hidden="1">
      <c r="AA757" s="56"/>
    </row>
    <row r="758" s="58" customFormat="1" ht="12.75" customHeight="1" hidden="1">
      <c r="AA758" s="56"/>
    </row>
    <row r="759" s="58" customFormat="1" ht="12.75" customHeight="1" hidden="1">
      <c r="AA759" s="56"/>
    </row>
    <row r="760" s="58" customFormat="1" ht="12.75" customHeight="1" hidden="1">
      <c r="AA760" s="56"/>
    </row>
    <row r="761" s="58" customFormat="1" ht="12.75" customHeight="1" hidden="1">
      <c r="AA761" s="56"/>
    </row>
    <row r="762" s="58" customFormat="1" ht="12.75" customHeight="1" hidden="1">
      <c r="AA762" s="56"/>
    </row>
    <row r="763" s="58" customFormat="1" ht="12.75" customHeight="1" hidden="1">
      <c r="AA763" s="56"/>
    </row>
    <row r="764" s="58" customFormat="1" ht="12.75" customHeight="1" hidden="1">
      <c r="AA764" s="56"/>
    </row>
    <row r="765" s="58" customFormat="1" ht="12.75" customHeight="1" hidden="1">
      <c r="AA765" s="56"/>
    </row>
    <row r="766" s="58" customFormat="1" ht="12.75" customHeight="1" hidden="1">
      <c r="AA766" s="56"/>
    </row>
    <row r="767" s="58" customFormat="1" ht="12.75" customHeight="1" hidden="1">
      <c r="AA767" s="56"/>
    </row>
    <row r="768" s="58" customFormat="1" ht="12.75" customHeight="1" hidden="1">
      <c r="AA768" s="56"/>
    </row>
    <row r="769" s="58" customFormat="1" ht="12.75" customHeight="1" hidden="1">
      <c r="AA769" s="56"/>
    </row>
    <row r="770" s="58" customFormat="1" ht="12.75" customHeight="1" hidden="1">
      <c r="AA770" s="56"/>
    </row>
    <row r="771" s="58" customFormat="1" ht="12.75" customHeight="1" hidden="1">
      <c r="AA771" s="56"/>
    </row>
    <row r="772" s="58" customFormat="1" ht="12.75" customHeight="1" hidden="1">
      <c r="AA772" s="56"/>
    </row>
    <row r="773" s="58" customFormat="1" ht="12.75" customHeight="1" hidden="1">
      <c r="AA773" s="56"/>
    </row>
    <row r="774" s="58" customFormat="1" ht="12.75" customHeight="1" hidden="1">
      <c r="AA774" s="56"/>
    </row>
    <row r="775" s="58" customFormat="1" ht="12.75" customHeight="1" hidden="1">
      <c r="AA775" s="56"/>
    </row>
    <row r="776" s="58" customFormat="1" ht="12.75" customHeight="1" hidden="1">
      <c r="AA776" s="56"/>
    </row>
    <row r="777" s="58" customFormat="1" ht="12.75" customHeight="1" hidden="1">
      <c r="AA777" s="56"/>
    </row>
    <row r="778" s="58" customFormat="1" ht="12.75" customHeight="1" hidden="1">
      <c r="AA778" s="56"/>
    </row>
    <row r="779" s="58" customFormat="1" ht="12.75" customHeight="1" hidden="1">
      <c r="AA779" s="56"/>
    </row>
    <row r="780" s="58" customFormat="1" ht="12.75" customHeight="1" hidden="1">
      <c r="AA780" s="56"/>
    </row>
    <row r="781" s="58" customFormat="1" ht="12.75" customHeight="1" hidden="1">
      <c r="AA781" s="56"/>
    </row>
    <row r="782" s="58" customFormat="1" ht="12.75" customHeight="1" hidden="1">
      <c r="AA782" s="56"/>
    </row>
    <row r="783" s="58" customFormat="1" ht="12.75" customHeight="1" hidden="1">
      <c r="AA783" s="56"/>
    </row>
    <row r="784" s="58" customFormat="1" ht="12.75" customHeight="1" hidden="1">
      <c r="AA784" s="56"/>
    </row>
    <row r="785" s="58" customFormat="1" ht="12.75" customHeight="1" hidden="1">
      <c r="AA785" s="56"/>
    </row>
    <row r="786" s="58" customFormat="1" ht="12.75" customHeight="1" hidden="1">
      <c r="AA786" s="56"/>
    </row>
    <row r="787" s="58" customFormat="1" ht="12.75" customHeight="1" hidden="1">
      <c r="AA787" s="56"/>
    </row>
    <row r="788" s="58" customFormat="1" ht="12.75" customHeight="1" hidden="1">
      <c r="AA788" s="56"/>
    </row>
    <row r="789" s="58" customFormat="1" ht="12.75" customHeight="1" hidden="1">
      <c r="AA789" s="56"/>
    </row>
    <row r="790" s="58" customFormat="1" ht="12.75" customHeight="1" hidden="1">
      <c r="AA790" s="56"/>
    </row>
    <row r="791" s="58" customFormat="1" ht="12.75" customHeight="1" hidden="1">
      <c r="AA791" s="56"/>
    </row>
    <row r="792" s="58" customFormat="1" ht="12.75" customHeight="1" hidden="1">
      <c r="AA792" s="56"/>
    </row>
    <row r="793" s="58" customFormat="1" ht="12.75" customHeight="1" hidden="1">
      <c r="AA793" s="56"/>
    </row>
    <row r="794" s="58" customFormat="1" ht="12.75" customHeight="1" hidden="1">
      <c r="AA794" s="56"/>
    </row>
    <row r="795" s="58" customFormat="1" ht="12.75" customHeight="1" hidden="1">
      <c r="AA795" s="56"/>
    </row>
    <row r="796" s="58" customFormat="1" ht="12.75" customHeight="1" hidden="1">
      <c r="AA796" s="56"/>
    </row>
    <row r="797" s="58" customFormat="1" ht="12.75" customHeight="1" hidden="1">
      <c r="AA797" s="56"/>
    </row>
  </sheetData>
  <mergeCells count="4">
    <mergeCell ref="B3:D3"/>
    <mergeCell ref="D37:D38"/>
    <mergeCell ref="B35:D35"/>
    <mergeCell ref="C33:D33"/>
  </mergeCells>
  <pageMargins left="0.75" right="0.75" top="1" bottom="1" header="0.5" footer="0.5"/>
  <pageSetup firstPageNumber="1" fitToHeight="1" fitToWidth="1" scale="116" useFirstPageNumber="0" orientation="portrait" pageOrder="downThenOver"/>
  <headerFooter>
    <oddFooter>&amp;L&amp;"Helvetica,Regular"&amp;12&amp;K000000	&amp;P</oddFooter>
  </headerFooter>
</worksheet>
</file>

<file path=xl/worksheets/sheet30.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256" width="10" customWidth="1"/>
  </cols>
  <sheetData/>
  <pageMargins left="0.75" right="0.75" top="1" bottom="1" header="0.5" footer="0.5"/>
  <pageSetup firstPageNumber="1" fitToHeight="1" fitToWidth="1" scale="60" useFirstPageNumber="0" orientation="landscape" pageOrder="downThenOver"/>
  <headerFooter>
    <oddFooter>&amp;L&amp;"Helvetica,Regular"&amp;12&amp;K000000	&amp;P</oddFooter>
  </headerFooter>
  <drawing r:id="rId1"/>
  <legacyDrawing r:id="rId2"/>
</worksheet>
</file>

<file path=xl/worksheets/sheet31.xml><?xml version="1.0" encoding="utf-8"?>
<worksheet xmlns:r="http://schemas.openxmlformats.org/officeDocument/2006/relationships" xmlns="http://schemas.openxmlformats.org/spreadsheetml/2006/main">
  <dimension ref="A1:BB407"/>
  <sheetViews>
    <sheetView workbookViewId="0" showGridLines="0" defaultGridColor="1"/>
  </sheetViews>
  <sheetFormatPr defaultColWidth="6.625" defaultRowHeight="15" customHeight="1" outlineLevelRow="0" outlineLevelCol="0"/>
  <cols>
    <col min="1" max="1" width="22.5" style="1105" customWidth="1"/>
    <col min="2" max="2" width="12.5" style="1105" customWidth="1"/>
    <col min="3" max="3" width="12.5" style="1105" customWidth="1"/>
    <col min="4" max="4" width="12.5" style="1105" customWidth="1"/>
    <col min="5" max="5" width="9.625" style="1105" customWidth="1"/>
    <col min="6" max="6" width="9.25" style="1105" customWidth="1"/>
    <col min="7" max="7" width="9.25" style="1105" customWidth="1"/>
    <col min="8" max="8" width="10" style="1105" customWidth="1"/>
    <col min="9" max="9" width="9.5" style="1105" customWidth="1"/>
    <col min="10" max="10" width="9.25" style="1105" customWidth="1"/>
    <col min="11" max="11" width="9.25" style="1105" customWidth="1"/>
    <col min="12" max="12" width="10" style="1105" customWidth="1"/>
    <col min="13" max="13" width="9.75" style="1105" customWidth="1"/>
    <col min="14" max="14" width="9.5" style="1105" customWidth="1"/>
    <col min="15" max="15" width="9.5" style="1105" customWidth="1"/>
    <col min="16" max="16" width="9.5" style="1105" customWidth="1"/>
    <col min="17" max="17" width="9.25" style="1105" customWidth="1"/>
    <col min="18" max="18" width="9.5" style="1105" customWidth="1"/>
    <col min="19" max="19" width="9.5" style="1105" customWidth="1"/>
    <col min="20" max="20" width="9.5" style="1105" customWidth="1"/>
    <col min="21" max="21" width="9.5" style="1105" customWidth="1"/>
    <col min="22" max="22" width="9.5" style="1105" customWidth="1"/>
    <col min="23" max="23" width="9.5" style="1105" customWidth="1"/>
    <col min="24" max="24" width="9.5" style="1105" customWidth="1"/>
    <col min="25" max="25" width="9.5" style="1105" customWidth="1"/>
    <col min="26" max="26" width="9.5" style="1105" customWidth="1"/>
    <col min="27" max="27" width="9.5" style="1105" customWidth="1"/>
    <col min="28" max="28" width="9.5" style="1105" customWidth="1"/>
    <col min="29" max="29" width="9.5" style="1105" customWidth="1"/>
    <col min="30" max="30" width="9.5" style="1105" customWidth="1"/>
    <col min="31" max="31" width="9.5" style="1105" customWidth="1"/>
    <col min="32" max="32" width="9.5" style="1105" customWidth="1"/>
    <col min="33" max="33" width="9.5" style="1105" customWidth="1"/>
    <col min="34" max="34" width="9.5" style="1105" customWidth="1"/>
    <col min="35" max="35" width="9.5" style="1105" customWidth="1"/>
    <col min="36" max="36" width="9.5" style="1105" customWidth="1"/>
    <col min="37" max="37" width="9.5" style="1105" customWidth="1"/>
    <col min="38" max="38" width="9.5" style="1105" customWidth="1"/>
    <col min="39" max="39" width="9.5" style="1105" customWidth="1"/>
    <col min="40" max="40" width="9.5" style="1105" customWidth="1"/>
    <col min="41" max="41" width="9.5" style="1105" customWidth="1"/>
    <col min="42" max="42" width="9.5" style="1105" customWidth="1"/>
    <col min="43" max="43" width="9.5" style="1105" customWidth="1"/>
    <col min="44" max="44" width="9.5" style="1105" customWidth="1"/>
    <col min="45" max="45" width="9.5" style="1105" customWidth="1"/>
    <col min="46" max="46" width="9.5" style="1105" customWidth="1"/>
    <col min="47" max="47" width="9.5" style="1105" customWidth="1"/>
    <col min="48" max="48" width="9.5" style="1105" customWidth="1"/>
    <col min="49" max="49" width="9.5" style="1105" customWidth="1"/>
    <col min="50" max="50" width="9.5" style="1105" customWidth="1"/>
    <col min="51" max="51" width="9.5" style="1105" customWidth="1"/>
    <col min="52" max="52" width="9.5" style="1105" customWidth="1"/>
    <col min="53" max="53" width="9.5" style="1105" customWidth="1"/>
    <col min="54" max="54" width="9.5" style="1105" customWidth="1"/>
    <col min="55" max="256" width="6.625" style="1105" customWidth="1"/>
  </cols>
  <sheetData>
    <row r="1" ht="18" customHeight="1">
      <c r="A1" t="s" s="1106">
        <v>76</v>
      </c>
      <c r="B1" t="s" s="1106">
        <f>'Cash Flow'!C1</f>
        <v>950</v>
      </c>
      <c r="C1" s="1107"/>
      <c r="D1" s="1107"/>
      <c r="E1" s="1108"/>
      <c r="F1" s="11"/>
      <c r="G1" s="11"/>
      <c r="H1" s="11"/>
      <c r="I1" s="9"/>
      <c r="J1" s="875"/>
      <c r="K1" s="11"/>
      <c r="L1" s="9"/>
      <c r="M1" s="875"/>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row>
    <row r="2" ht="18" customHeight="1">
      <c r="A2" s="1107"/>
      <c r="B2" s="1107"/>
      <c r="C2" s="1107"/>
      <c r="D2" s="1107"/>
      <c r="E2" s="1108"/>
      <c r="F2" s="11"/>
      <c r="G2" s="11"/>
      <c r="H2" s="11"/>
      <c r="I2" s="9"/>
      <c r="J2" s="876"/>
      <c r="K2" s="11"/>
      <c r="L2" s="9"/>
      <c r="M2" s="876"/>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row>
    <row r="3" ht="18" customHeight="1">
      <c r="A3" t="s" s="1109">
        <v>1060</v>
      </c>
      <c r="B3" s="1110"/>
      <c r="C3" s="1110"/>
      <c r="D3" s="1110"/>
      <c r="E3" s="1111"/>
      <c r="F3" s="1112"/>
      <c r="G3" s="1112"/>
      <c r="H3" s="1112"/>
      <c r="I3" s="9"/>
      <c r="J3" s="9"/>
      <c r="K3" s="1113"/>
      <c r="L3" s="9"/>
      <c r="M3" s="9"/>
      <c r="N3" s="1114"/>
      <c r="O3" s="1114"/>
      <c r="P3" s="1114"/>
      <c r="Q3" s="1114"/>
      <c r="R3" s="1114"/>
      <c r="S3" s="1114"/>
      <c r="T3" s="1114"/>
      <c r="U3" s="1114"/>
      <c r="V3" s="1114"/>
      <c r="W3" s="1114"/>
      <c r="X3" s="1114"/>
      <c r="Y3" s="1114"/>
      <c r="Z3" s="1114"/>
      <c r="AA3" s="1114"/>
      <c r="AB3" s="1114"/>
      <c r="AC3" s="1114"/>
      <c r="AD3" s="1114"/>
      <c r="AE3" s="1114"/>
      <c r="AF3" s="1114"/>
      <c r="AG3" s="1114"/>
      <c r="AH3" s="1112"/>
      <c r="AI3" s="1112"/>
      <c r="AJ3" s="1112"/>
      <c r="AK3" s="1112"/>
      <c r="AL3" s="1112"/>
      <c r="AM3" s="1112"/>
      <c r="AN3" s="1112"/>
      <c r="AO3" s="1112"/>
      <c r="AP3" s="1112"/>
      <c r="AQ3" s="1112"/>
      <c r="AR3" s="1112"/>
      <c r="AS3" s="1112"/>
      <c r="AT3" s="1112"/>
      <c r="AU3" s="1112"/>
      <c r="AV3" s="1112"/>
      <c r="AW3" s="1112"/>
      <c r="AX3" s="1112"/>
      <c r="AY3" s="1112"/>
      <c r="AZ3" s="1112"/>
      <c r="BA3" s="1112"/>
      <c r="BB3" s="1112"/>
    </row>
    <row r="4" ht="12.75" customHeight="1">
      <c r="A4" s="1115"/>
      <c r="B4" s="1115"/>
      <c r="C4" s="1115"/>
      <c r="D4" s="1115"/>
      <c r="E4" s="1116"/>
      <c r="F4" s="1115"/>
      <c r="G4" s="1116"/>
      <c r="H4" s="1115"/>
      <c r="I4" s="1117"/>
      <c r="J4" s="1118"/>
      <c r="K4" s="1119"/>
      <c r="L4" s="1117"/>
      <c r="M4" s="1118"/>
      <c r="N4" s="1120"/>
      <c r="O4" s="1120"/>
      <c r="P4" s="1120"/>
      <c r="Q4" s="1120"/>
      <c r="R4" s="1120"/>
      <c r="S4" s="1120"/>
      <c r="T4" s="1120"/>
      <c r="U4" s="1120"/>
      <c r="V4" s="1120"/>
      <c r="W4" s="1120"/>
      <c r="X4" s="1120"/>
      <c r="Y4" s="1120"/>
      <c r="Z4" s="1120"/>
      <c r="AA4" s="1120"/>
      <c r="AB4" s="1120"/>
      <c r="AC4" s="1120"/>
      <c r="AD4" s="1120"/>
      <c r="AE4" s="1120"/>
      <c r="AF4" s="1120"/>
      <c r="AG4" s="1120"/>
      <c r="AH4" s="1116"/>
      <c r="AI4" s="1116"/>
      <c r="AJ4" s="1116"/>
      <c r="AK4" s="1116"/>
      <c r="AL4" s="1116"/>
      <c r="AM4" s="1116"/>
      <c r="AN4" s="1116"/>
      <c r="AO4" s="1116"/>
      <c r="AP4" s="1116"/>
      <c r="AQ4" s="1116"/>
      <c r="AR4" s="1116"/>
      <c r="AS4" s="1116"/>
      <c r="AT4" s="1116"/>
      <c r="AU4" s="1116"/>
      <c r="AV4" s="1116"/>
      <c r="AW4" s="1116"/>
      <c r="AX4" s="1116"/>
      <c r="AY4" s="1116"/>
      <c r="AZ4" s="1116"/>
      <c r="BA4" s="1116"/>
      <c r="BB4" s="1116"/>
    </row>
    <row r="5" ht="16.5" customHeight="1">
      <c r="A5" s="1121"/>
      <c r="B5" s="1121"/>
      <c r="C5" s="1006">
        <f>'Cash Flow'!C9</f>
        <v>2018</v>
      </c>
      <c r="D5" s="1006">
        <f>'Cash Flow'!D9</f>
        <v>2019</v>
      </c>
      <c r="E5" s="1006">
        <f>'Cash Flow'!E9</f>
        <v>2020</v>
      </c>
      <c r="F5" s="1006">
        <f>'Cash Flow'!F9</f>
        <v>2021</v>
      </c>
      <c r="G5" s="1006">
        <f>'Cash Flow'!G9</f>
        <v>2022</v>
      </c>
      <c r="H5" s="1006">
        <f>'Cash Flow'!H9</f>
        <v>2023</v>
      </c>
      <c r="I5" s="1006">
        <f>'Cash Flow'!I9</f>
        <v>2024</v>
      </c>
      <c r="J5" s="1006">
        <f>'Cash Flow'!J9</f>
        <v>2025</v>
      </c>
      <c r="K5" s="1006">
        <f>'Cash Flow'!K9</f>
        <v>2026</v>
      </c>
      <c r="L5" s="1006">
        <f>'Cash Flow'!L9</f>
        <v>2027</v>
      </c>
      <c r="M5" s="1006">
        <f>'Cash Flow'!M9</f>
        <v>2028</v>
      </c>
      <c r="N5" s="1006">
        <f>'Cash Flow'!N9</f>
        <v>2029</v>
      </c>
      <c r="O5" s="1006">
        <f>'Cash Flow'!O9</f>
        <v>2030</v>
      </c>
      <c r="P5" s="1006">
        <f>'Cash Flow'!P9</f>
        <v>2031</v>
      </c>
      <c r="Q5" s="1006">
        <f>'Cash Flow'!Q9</f>
        <v>2032</v>
      </c>
      <c r="R5" s="1006">
        <f>'Cash Flow'!R9</f>
        <v>2033</v>
      </c>
      <c r="S5" s="1006">
        <f>'Cash Flow'!S9</f>
        <v>2034</v>
      </c>
      <c r="T5" s="1006">
        <f>'Cash Flow'!T9</f>
        <v>2035</v>
      </c>
      <c r="U5" s="1006">
        <f>'Cash Flow'!U9</f>
        <v>2036</v>
      </c>
      <c r="V5" s="1006">
        <f>'Cash Flow'!V9</f>
        <v>2037</v>
      </c>
      <c r="W5" s="1006">
        <f>'Cash Flow'!W9</f>
        <v>2038</v>
      </c>
      <c r="X5" s="1006">
        <f>'Cash Flow'!X9</f>
        <v>2039</v>
      </c>
      <c r="Y5" s="1006">
        <f>'Cash Flow'!Y9</f>
        <v>2040</v>
      </c>
      <c r="Z5" s="1006">
        <f>'Cash Flow'!Z9</f>
        <v>2041</v>
      </c>
      <c r="AA5" s="1006">
        <f>'Cash Flow'!AA9</f>
        <v>2042</v>
      </c>
      <c r="AB5" s="1006">
        <f>'Cash Flow'!AB9</f>
        <v>2043</v>
      </c>
      <c r="AC5" s="1006">
        <f>'Cash Flow'!AC9</f>
        <v>2044</v>
      </c>
      <c r="AD5" s="1006">
        <f>'Cash Flow'!AD9</f>
        <v>2045</v>
      </c>
      <c r="AE5" s="1006">
        <f>'Cash Flow'!AE9</f>
        <v>2046</v>
      </c>
      <c r="AF5" s="1006">
        <f>'Cash Flow'!AF9</f>
        <v>2047</v>
      </c>
      <c r="AG5" s="1006">
        <f>'Cash Flow'!AG9</f>
        <v>2048</v>
      </c>
      <c r="AH5" s="1006">
        <f>'Cash Flow'!AH9</f>
        <v>2049</v>
      </c>
      <c r="AI5" s="1006">
        <f>'Cash Flow'!AI9</f>
        <v>2050</v>
      </c>
      <c r="AJ5" s="1006">
        <f>'Cash Flow'!AJ9</f>
        <v>2051</v>
      </c>
      <c r="AK5" s="1006">
        <f>'Cash Flow'!AK9</f>
        <v>2052</v>
      </c>
      <c r="AL5" s="1006">
        <f>'Cash Flow'!AL9</f>
        <v>2053</v>
      </c>
      <c r="AM5" s="1006">
        <f>'Cash Flow'!AM9</f>
        <v>2054</v>
      </c>
      <c r="AN5" s="1006">
        <f>'Cash Flow'!AN9</f>
        <v>2055</v>
      </c>
      <c r="AO5" s="1006">
        <f>'Cash Flow'!AO9</f>
        <v>2056</v>
      </c>
      <c r="AP5" s="1006">
        <f>'Cash Flow'!AP9</f>
        <v>2057</v>
      </c>
      <c r="AQ5" s="1006">
        <f>'Cash Flow'!AQ9</f>
        <v>2058</v>
      </c>
      <c r="AR5" s="1006">
        <f>'Cash Flow'!AR9</f>
        <v>2059</v>
      </c>
      <c r="AS5" s="1006">
        <f>'Cash Flow'!AS9</f>
        <v>2060</v>
      </c>
      <c r="AT5" s="1006">
        <f>'Cash Flow'!AT9</f>
        <v>2061</v>
      </c>
      <c r="AU5" s="1006">
        <f>'Cash Flow'!AU9</f>
        <v>2062</v>
      </c>
      <c r="AV5" s="1006">
        <f>'Cash Flow'!AV9</f>
        <v>2063</v>
      </c>
      <c r="AW5" s="1006">
        <f>'Cash Flow'!AW9</f>
        <v>2064</v>
      </c>
      <c r="AX5" s="1006">
        <f>'Cash Flow'!AX9</f>
        <v>2065</v>
      </c>
      <c r="AY5" s="1006">
        <f>'Cash Flow'!AY9</f>
        <v>2066</v>
      </c>
      <c r="AZ5" s="1006">
        <f>'Cash Flow'!AZ9</f>
        <v>2067</v>
      </c>
      <c r="BA5" s="1006">
        <f>'Cash Flow'!BA9</f>
        <v>2068</v>
      </c>
      <c r="BB5" s="1006">
        <f>'Cash Flow'!BB9</f>
        <v>2069</v>
      </c>
    </row>
    <row r="6" ht="16" customHeight="1">
      <c r="A6" s="1007"/>
      <c r="B6" s="1007"/>
      <c r="C6" s="1008">
        <f>'Cash Flow'!C10</f>
        <v>2019</v>
      </c>
      <c r="D6" s="1008">
        <f>'Cash Flow'!D10</f>
        <v>2020</v>
      </c>
      <c r="E6" s="1009">
        <f>'Cash Flow'!E10</f>
        <v>2021</v>
      </c>
      <c r="F6" s="1010">
        <f>'Cash Flow'!F10</f>
        <v>2022</v>
      </c>
      <c r="G6" s="1010">
        <f>'Cash Flow'!G10</f>
        <v>2023</v>
      </c>
      <c r="H6" s="1010">
        <f>'Cash Flow'!H10</f>
        <v>2024</v>
      </c>
      <c r="I6" s="1010">
        <f>'Cash Flow'!I10</f>
        <v>2025</v>
      </c>
      <c r="J6" s="1010">
        <f>'Cash Flow'!J10</f>
        <v>2026</v>
      </c>
      <c r="K6" s="1010">
        <f>'Cash Flow'!K10</f>
        <v>2027</v>
      </c>
      <c r="L6" s="1010">
        <f>'Cash Flow'!L10</f>
        <v>2028</v>
      </c>
      <c r="M6" s="1010">
        <f>'Cash Flow'!M10</f>
        <v>2029</v>
      </c>
      <c r="N6" s="1010">
        <f>'Cash Flow'!N10</f>
        <v>2030</v>
      </c>
      <c r="O6" s="1010">
        <f>'Cash Flow'!O10</f>
        <v>2031</v>
      </c>
      <c r="P6" s="1010">
        <f>'Cash Flow'!P10</f>
        <v>2032</v>
      </c>
      <c r="Q6" s="1010">
        <f>'Cash Flow'!Q10</f>
        <v>2033</v>
      </c>
      <c r="R6" s="1010">
        <f>'Cash Flow'!R10</f>
        <v>2034</v>
      </c>
      <c r="S6" s="1010">
        <f>'Cash Flow'!S10</f>
        <v>2035</v>
      </c>
      <c r="T6" s="1010">
        <f>'Cash Flow'!T10</f>
        <v>2036</v>
      </c>
      <c r="U6" s="1010">
        <f>'Cash Flow'!U10</f>
        <v>2037</v>
      </c>
      <c r="V6" s="1010">
        <f>'Cash Flow'!V10</f>
        <v>2038</v>
      </c>
      <c r="W6" s="1010">
        <f>'Cash Flow'!W10</f>
        <v>2039</v>
      </c>
      <c r="X6" s="1010">
        <f>'Cash Flow'!X10</f>
        <v>2040</v>
      </c>
      <c r="Y6" s="1010">
        <f>'Cash Flow'!Y10</f>
        <v>2041</v>
      </c>
      <c r="Z6" s="1010">
        <f>'Cash Flow'!Z10</f>
        <v>2042</v>
      </c>
      <c r="AA6" s="1010">
        <f>'Cash Flow'!AA10</f>
        <v>2043</v>
      </c>
      <c r="AB6" s="1010">
        <f>'Cash Flow'!AB10</f>
        <v>2044</v>
      </c>
      <c r="AC6" s="1010">
        <f>'Cash Flow'!AC10</f>
        <v>2045</v>
      </c>
      <c r="AD6" s="1010">
        <f>'Cash Flow'!AD10</f>
        <v>2046</v>
      </c>
      <c r="AE6" s="1010">
        <f>'Cash Flow'!AE10</f>
        <v>2047</v>
      </c>
      <c r="AF6" s="1010">
        <f>'Cash Flow'!AF10</f>
        <v>2048</v>
      </c>
      <c r="AG6" s="1010">
        <f>'Cash Flow'!AG10</f>
        <v>2049</v>
      </c>
      <c r="AH6" s="1010">
        <f>'Cash Flow'!AH10</f>
        <v>2050</v>
      </c>
      <c r="AI6" s="1010">
        <f>'Cash Flow'!AI10</f>
        <v>2051</v>
      </c>
      <c r="AJ6" s="1010">
        <f>'Cash Flow'!AJ10</f>
        <v>2052</v>
      </c>
      <c r="AK6" s="1010">
        <f>'Cash Flow'!AK10</f>
        <v>2053</v>
      </c>
      <c r="AL6" s="1010">
        <f>'Cash Flow'!AL10</f>
        <v>2054</v>
      </c>
      <c r="AM6" s="1010">
        <f>'Cash Flow'!AM10</f>
        <v>2055</v>
      </c>
      <c r="AN6" s="1010">
        <f>'Cash Flow'!AN10</f>
        <v>2056</v>
      </c>
      <c r="AO6" s="1010">
        <f>'Cash Flow'!AO10</f>
        <v>2057</v>
      </c>
      <c r="AP6" s="1010">
        <f>'Cash Flow'!AP10</f>
        <v>2058</v>
      </c>
      <c r="AQ6" s="1010">
        <f>'Cash Flow'!AQ10</f>
        <v>2059</v>
      </c>
      <c r="AR6" s="1010">
        <f>'Cash Flow'!AR10</f>
        <v>2060</v>
      </c>
      <c r="AS6" s="1010">
        <f>'Cash Flow'!AS10</f>
        <v>2061</v>
      </c>
      <c r="AT6" s="1010">
        <f>'Cash Flow'!AT10</f>
        <v>2062</v>
      </c>
      <c r="AU6" s="1010">
        <f>'Cash Flow'!AU10</f>
        <v>2063</v>
      </c>
      <c r="AV6" s="1010">
        <f>'Cash Flow'!AV10</f>
        <v>2064</v>
      </c>
      <c r="AW6" s="1010">
        <f>'Cash Flow'!AW10</f>
        <v>2065</v>
      </c>
      <c r="AX6" s="1010">
        <f>'Cash Flow'!AX10</f>
        <v>2066</v>
      </c>
      <c r="AY6" s="1010">
        <f>'Cash Flow'!AY10</f>
        <v>2067</v>
      </c>
      <c r="AZ6" s="1010">
        <f>'Cash Flow'!AZ10</f>
        <v>2068</v>
      </c>
      <c r="BA6" s="1010">
        <f>'Cash Flow'!BA10</f>
        <v>2069</v>
      </c>
      <c r="BB6" s="1010">
        <f>'Cash Flow'!BB10</f>
        <v>2070</v>
      </c>
    </row>
    <row r="7" ht="16.5" customHeight="1">
      <c r="A7" s="1007"/>
      <c r="B7" s="1007"/>
      <c r="C7" t="s" s="1122">
        <f>'Cash Flow'!C11</f>
        <v>1032</v>
      </c>
      <c r="D7" t="s" s="1122">
        <f>'Cash Flow'!D11</f>
        <v>826</v>
      </c>
      <c r="E7" t="s" s="1122">
        <f>'Cash Flow'!E11</f>
        <v>1004</v>
      </c>
      <c r="F7" t="s" s="1122">
        <f>'Cash Flow'!F11</f>
        <v>1004</v>
      </c>
      <c r="G7" t="s" s="1122">
        <f>'Cash Flow'!G11</f>
        <v>1004</v>
      </c>
      <c r="H7" t="s" s="1122">
        <f>'Cash Flow'!H11</f>
        <v>1004</v>
      </c>
      <c r="I7" t="s" s="1122">
        <f>'Cash Flow'!I11</f>
        <v>1004</v>
      </c>
      <c r="J7" t="s" s="1122">
        <f>'Cash Flow'!J11</f>
        <v>1004</v>
      </c>
      <c r="K7" t="s" s="1122">
        <f>'Cash Flow'!K11</f>
        <v>1004</v>
      </c>
      <c r="L7" t="s" s="1122">
        <f>'Cash Flow'!L11</f>
        <v>1004</v>
      </c>
      <c r="M7" t="s" s="1122">
        <f>'Cash Flow'!M11</f>
        <v>1004</v>
      </c>
      <c r="N7" t="s" s="1122">
        <f>'Cash Flow'!N11</f>
        <v>1004</v>
      </c>
      <c r="O7" t="s" s="1122">
        <f>'Cash Flow'!O11</f>
        <v>1004</v>
      </c>
      <c r="P7" t="s" s="1122">
        <f>'Cash Flow'!P11</f>
        <v>1004</v>
      </c>
      <c r="Q7" t="s" s="1122">
        <f>'Cash Flow'!Q11</f>
        <v>1004</v>
      </c>
      <c r="R7" t="s" s="1122">
        <f>'Cash Flow'!R11</f>
        <v>1004</v>
      </c>
      <c r="S7" t="s" s="1122">
        <f>'Cash Flow'!S11</f>
        <v>1004</v>
      </c>
      <c r="T7" t="s" s="1122">
        <f>'Cash Flow'!T11</f>
        <v>1004</v>
      </c>
      <c r="U7" t="s" s="1122">
        <f>'Cash Flow'!U11</f>
        <v>1004</v>
      </c>
      <c r="V7" t="s" s="1122">
        <f>'Cash Flow'!V11</f>
        <v>1004</v>
      </c>
      <c r="W7" t="s" s="1122">
        <f>'Cash Flow'!W11</f>
        <v>1004</v>
      </c>
      <c r="X7" t="s" s="1122">
        <f>'Cash Flow'!X11</f>
        <v>1004</v>
      </c>
      <c r="Y7" t="s" s="1122">
        <f>'Cash Flow'!Y11</f>
        <v>1004</v>
      </c>
      <c r="Z7" t="s" s="1122">
        <f>'Cash Flow'!Z11</f>
        <v>1004</v>
      </c>
      <c r="AA7" t="s" s="1122">
        <f>'Cash Flow'!AA11</f>
        <v>1004</v>
      </c>
      <c r="AB7" t="s" s="1122">
        <f>'Cash Flow'!AB11</f>
        <v>1004</v>
      </c>
      <c r="AC7" t="s" s="1122">
        <f>'Cash Flow'!AC11</f>
        <v>1004</v>
      </c>
      <c r="AD7" t="s" s="1122">
        <f>'Cash Flow'!AD11</f>
        <v>1004</v>
      </c>
      <c r="AE7" t="s" s="1122">
        <f>'Cash Flow'!AE11</f>
        <v>1004</v>
      </c>
      <c r="AF7" t="s" s="1122">
        <f>'Cash Flow'!AF11</f>
        <v>1004</v>
      </c>
      <c r="AG7" t="s" s="1122">
        <f>'Cash Flow'!AG11</f>
        <v>1004</v>
      </c>
      <c r="AH7" t="s" s="1122">
        <f>'Cash Flow'!AH11</f>
        <v>1004</v>
      </c>
      <c r="AI7" t="s" s="1122">
        <f>'Cash Flow'!AI11</f>
        <v>1004</v>
      </c>
      <c r="AJ7" t="s" s="1122">
        <f>'Cash Flow'!AJ11</f>
        <v>1004</v>
      </c>
      <c r="AK7" t="s" s="1122">
        <f>'Cash Flow'!AK11</f>
        <v>1004</v>
      </c>
      <c r="AL7" t="s" s="1122">
        <f>'Cash Flow'!AL11</f>
        <v>1004</v>
      </c>
      <c r="AM7" t="s" s="1122">
        <f>'Cash Flow'!AM11</f>
        <v>1004</v>
      </c>
      <c r="AN7" t="s" s="1122">
        <f>'Cash Flow'!AN11</f>
        <v>1004</v>
      </c>
      <c r="AO7" t="s" s="1122">
        <f>'Cash Flow'!AO11</f>
        <v>1004</v>
      </c>
      <c r="AP7" t="s" s="1122">
        <f>'Cash Flow'!AP11</f>
        <v>1004</v>
      </c>
      <c r="AQ7" t="s" s="1122">
        <f>'Cash Flow'!AQ11</f>
        <v>1004</v>
      </c>
      <c r="AR7" t="s" s="1122">
        <f>'Cash Flow'!AR11</f>
        <v>1032</v>
      </c>
      <c r="AS7" t="s" s="1122">
        <f>'Cash Flow'!AS11</f>
        <v>1004</v>
      </c>
      <c r="AT7" t="s" s="1122">
        <f>'Cash Flow'!AT11</f>
        <v>1032</v>
      </c>
      <c r="AU7" t="s" s="1122">
        <f>'Cash Flow'!AU11</f>
        <v>1032</v>
      </c>
      <c r="AV7" t="s" s="1122">
        <f>'Cash Flow'!AV11</f>
        <v>1004</v>
      </c>
      <c r="AW7" t="s" s="1122">
        <f>'Cash Flow'!AW11</f>
        <v>1004</v>
      </c>
      <c r="AX7" t="s" s="1122">
        <f>'Cash Flow'!AX11</f>
        <v>1004</v>
      </c>
      <c r="AY7" t="s" s="1122">
        <f>'Cash Flow'!AY11</f>
        <v>1004</v>
      </c>
      <c r="AZ7" t="s" s="1122">
        <f>'Cash Flow'!AZ11</f>
        <v>1032</v>
      </c>
      <c r="BA7" t="s" s="1122">
        <f>'Cash Flow'!BA11</f>
        <v>1032</v>
      </c>
      <c r="BB7" t="s" s="1122">
        <f>'Cash Flow'!BB11</f>
        <v>1032</v>
      </c>
    </row>
    <row r="8" ht="17" customHeight="1">
      <c r="A8" s="1021"/>
      <c r="B8" s="1021"/>
      <c r="C8" s="1123">
        <f>'Cash Flow'!C12</f>
        <v>0</v>
      </c>
      <c r="D8" s="1123">
        <f>'Cash Flow'!D12</f>
        <v>0</v>
      </c>
      <c r="E8" s="1123">
        <f>'Cash Flow'!E12</f>
        <v>1</v>
      </c>
      <c r="F8" s="1123">
        <f>'Cash Flow'!F12</f>
        <v>2</v>
      </c>
      <c r="G8" s="1123">
        <f>'Cash Flow'!G12</f>
        <v>3</v>
      </c>
      <c r="H8" s="1123">
        <f>'Cash Flow'!H12</f>
        <v>4</v>
      </c>
      <c r="I8" s="1123">
        <f>'Cash Flow'!I12</f>
        <v>5</v>
      </c>
      <c r="J8" s="1123">
        <f>'Cash Flow'!J12</f>
        <v>6</v>
      </c>
      <c r="K8" s="1123">
        <f>'Cash Flow'!K12</f>
        <v>7</v>
      </c>
      <c r="L8" s="1123">
        <f>'Cash Flow'!L12</f>
        <v>8</v>
      </c>
      <c r="M8" s="1123">
        <f>'Cash Flow'!M12</f>
        <v>9</v>
      </c>
      <c r="N8" s="1123">
        <f>'Cash Flow'!N12</f>
        <v>10</v>
      </c>
      <c r="O8" s="1123">
        <f>'Cash Flow'!O12</f>
        <v>11</v>
      </c>
      <c r="P8" s="1123">
        <f>'Cash Flow'!P12</f>
        <v>12</v>
      </c>
      <c r="Q8" s="1123">
        <f>'Cash Flow'!Q12</f>
        <v>13</v>
      </c>
      <c r="R8" s="1123">
        <f>'Cash Flow'!R12</f>
        <v>14</v>
      </c>
      <c r="S8" s="1123">
        <f>'Cash Flow'!S12</f>
        <v>15</v>
      </c>
      <c r="T8" s="1123">
        <f>'Cash Flow'!T12</f>
        <v>16</v>
      </c>
      <c r="U8" s="1123">
        <f>'Cash Flow'!U12</f>
        <v>17</v>
      </c>
      <c r="V8" s="1123">
        <f>'Cash Flow'!V12</f>
        <v>18</v>
      </c>
      <c r="W8" s="1123">
        <f>'Cash Flow'!W12</f>
        <v>19</v>
      </c>
      <c r="X8" s="1123">
        <f>'Cash Flow'!X12</f>
        <v>20</v>
      </c>
      <c r="Y8" s="1123">
        <f>'Cash Flow'!Y12</f>
        <v>21</v>
      </c>
      <c r="Z8" s="1123">
        <f>'Cash Flow'!Z12</f>
        <v>22</v>
      </c>
      <c r="AA8" s="1123">
        <f>'Cash Flow'!AA12</f>
        <v>23</v>
      </c>
      <c r="AB8" s="1123">
        <f>'Cash Flow'!AB12</f>
        <v>24</v>
      </c>
      <c r="AC8" s="1123">
        <f>'Cash Flow'!AC12</f>
        <v>25</v>
      </c>
      <c r="AD8" s="1123">
        <f>'Cash Flow'!AD12</f>
        <v>26</v>
      </c>
      <c r="AE8" s="1123">
        <f>'Cash Flow'!AE12</f>
        <v>27</v>
      </c>
      <c r="AF8" s="1123">
        <f>'Cash Flow'!AF12</f>
        <v>28</v>
      </c>
      <c r="AG8" s="1123">
        <f>'Cash Flow'!AG12</f>
        <v>29</v>
      </c>
      <c r="AH8" s="1123">
        <f>'Cash Flow'!AH12</f>
        <v>30</v>
      </c>
      <c r="AI8" s="1123">
        <f>'Cash Flow'!AI12</f>
        <v>31</v>
      </c>
      <c r="AJ8" s="1123">
        <f>'Cash Flow'!AJ12</f>
        <v>32</v>
      </c>
      <c r="AK8" s="1123">
        <f>'Cash Flow'!AK12</f>
        <v>33</v>
      </c>
      <c r="AL8" s="1123">
        <f>'Cash Flow'!AL12</f>
        <v>34</v>
      </c>
      <c r="AM8" s="1123">
        <f>'Cash Flow'!AM12</f>
        <v>35</v>
      </c>
      <c r="AN8" s="1123">
        <f>'Cash Flow'!AN12</f>
        <v>36</v>
      </c>
      <c r="AO8" s="1123">
        <f>'Cash Flow'!AO12</f>
        <v>37</v>
      </c>
      <c r="AP8" s="1123">
        <f>'Cash Flow'!AP12</f>
        <v>38</v>
      </c>
      <c r="AQ8" s="1123">
        <f>'Cash Flow'!AQ12</f>
        <v>39</v>
      </c>
      <c r="AR8" s="1123">
        <f>'Cash Flow'!AR12</f>
        <v>40</v>
      </c>
      <c r="AS8" s="1123">
        <f>'Cash Flow'!AS12</f>
        <v>41</v>
      </c>
      <c r="AT8" s="1123">
        <f>'Cash Flow'!AT12</f>
        <v>42</v>
      </c>
      <c r="AU8" s="1123">
        <f>'Cash Flow'!AU12</f>
        <v>43</v>
      </c>
      <c r="AV8" s="1123">
        <f>'Cash Flow'!AV12</f>
        <v>44</v>
      </c>
      <c r="AW8" s="1123">
        <f>'Cash Flow'!AW12</f>
        <v>45</v>
      </c>
      <c r="AX8" s="1123">
        <f>'Cash Flow'!AX12</f>
        <v>46</v>
      </c>
      <c r="AY8" s="1123">
        <f>'Cash Flow'!AY12</f>
        <v>47</v>
      </c>
      <c r="AZ8" s="1123">
        <f>'Cash Flow'!AZ12</f>
        <v>48</v>
      </c>
      <c r="BA8" s="1123">
        <f>'Cash Flow'!BA12</f>
        <v>49</v>
      </c>
      <c r="BB8" s="1123">
        <f>'Cash Flow'!BB12</f>
        <v>50</v>
      </c>
    </row>
    <row r="9" ht="16.5" customHeight="1">
      <c r="A9" t="s" s="1124">
        <v>1061</v>
      </c>
      <c r="B9" s="1016"/>
      <c r="C9" s="1016"/>
      <c r="D9" s="1016"/>
      <c r="E9" s="1017"/>
      <c r="F9" s="1017"/>
      <c r="G9" s="1017"/>
      <c r="H9" s="1017"/>
      <c r="I9" s="1017"/>
      <c r="J9" s="1017"/>
      <c r="K9" s="1017"/>
      <c r="L9" s="1017"/>
      <c r="M9" s="1017"/>
      <c r="N9" s="1017"/>
      <c r="O9" s="1017"/>
      <c r="P9" s="1017"/>
      <c r="Q9" s="1017"/>
      <c r="R9" s="1017"/>
      <c r="S9" s="1017"/>
      <c r="T9" s="1017"/>
      <c r="U9" s="1017"/>
      <c r="V9" s="1017"/>
      <c r="W9" s="1017"/>
      <c r="X9" s="1017"/>
      <c r="Y9" s="1017"/>
      <c r="Z9" s="1017"/>
      <c r="AA9" s="1017"/>
      <c r="AB9" s="1017"/>
      <c r="AC9" s="1017"/>
      <c r="AD9" s="1017"/>
      <c r="AE9" s="1017"/>
      <c r="AF9" s="1017"/>
      <c r="AG9" s="1017"/>
      <c r="AH9" s="1017"/>
      <c r="AI9" s="1017"/>
      <c r="AJ9" s="1017"/>
      <c r="AK9" s="1017"/>
      <c r="AL9" s="1017"/>
      <c r="AM9" s="1017"/>
      <c r="AN9" s="1017"/>
      <c r="AO9" s="1017"/>
      <c r="AP9" s="1017"/>
      <c r="AQ9" s="1017"/>
      <c r="AR9" s="1017"/>
      <c r="AS9" s="1017"/>
      <c r="AT9" s="1017"/>
      <c r="AU9" s="1017"/>
      <c r="AV9" s="1017"/>
      <c r="AW9" s="1017"/>
      <c r="AX9" s="1017"/>
      <c r="AY9" s="1017"/>
      <c r="AZ9" s="1017"/>
      <c r="BA9" s="1017"/>
      <c r="BB9" s="1017"/>
    </row>
    <row r="10" ht="14.25" customHeight="1">
      <c r="A10" t="s" s="1018">
        <v>1062</v>
      </c>
      <c r="B10" s="1007"/>
      <c r="C10" s="1019">
        <f>'Cash Flow'!C14</f>
        <v>0</v>
      </c>
      <c r="D10" s="1019">
        <f>'Cash Flow'!D14</f>
        <v>0</v>
      </c>
      <c r="E10" s="1019">
        <f>'Cash Flow'!E14+'Cash Flow'!E24</f>
        <v>32933.333333333336</v>
      </c>
      <c r="F10" s="1019">
        <f>'Cash Flow'!F14+'Cash Flow'!F24</f>
        <v>40705.6</v>
      </c>
      <c r="G10" s="1019">
        <f>'Cash Flow'!G14+'Cash Flow'!G24</f>
        <v>41926.768</v>
      </c>
      <c r="H10" s="1019">
        <f>'Cash Flow'!H14+'Cash Flow'!H24</f>
        <v>43184.57104</v>
      </c>
      <c r="I10" s="1019">
        <f>'Cash Flow'!I14+'Cash Flow'!I24</f>
        <v>44480.108171199994</v>
      </c>
      <c r="J10" s="1019">
        <f>'Cash Flow'!J14+'Cash Flow'!J24</f>
        <v>45814.511416336</v>
      </c>
      <c r="K10" s="1019">
        <f>'Cash Flow'!K14+'Cash Flow'!K24</f>
        <v>47188.946758826081</v>
      </c>
      <c r="L10" s="1019">
        <f>'Cash Flow'!L14+'Cash Flow'!L24</f>
        <v>48604.615161590868</v>
      </c>
      <c r="M10" s="1019">
        <f>'Cash Flow'!M14+'Cash Flow'!M24</f>
        <v>50062.7536164386</v>
      </c>
      <c r="N10" s="1019">
        <f>'Cash Flow'!N14+'Cash Flow'!N24</f>
        <v>51564.636224931754</v>
      </c>
      <c r="O10" s="1019">
        <f>'Cash Flow'!O14+'Cash Flow'!O24</f>
        <v>53111.575311679706</v>
      </c>
      <c r="P10" s="1019">
        <f>'Cash Flow'!P14+'Cash Flow'!P24</f>
        <v>54704.9225710301</v>
      </c>
      <c r="Q10" s="1019">
        <f>'Cash Flow'!Q14+'Cash Flow'!Q24</f>
        <v>56346.070248161</v>
      </c>
      <c r="R10" s="1019">
        <f>'Cash Flow'!R14+'Cash Flow'!R24</f>
        <v>58036.452355605827</v>
      </c>
      <c r="S10" s="1019">
        <f>'Cash Flow'!S14+'Cash Flow'!S24</f>
        <v>59777.545926274</v>
      </c>
      <c r="T10" s="1019">
        <f>'Cash Flow'!T14+'Cash Flow'!T24</f>
        <v>61570.872304062228</v>
      </c>
      <c r="U10" s="1019">
        <f>'Cash Flow'!U14+'Cash Flow'!U24</f>
        <v>63417.9984731841</v>
      </c>
      <c r="V10" s="1019">
        <f>'Cash Flow'!V14+'Cash Flow'!V24</f>
        <v>65320.538427379623</v>
      </c>
      <c r="W10" s="1019">
        <f>'Cash Flow'!W14+'Cash Flow'!W24</f>
        <v>67280.154580201008</v>
      </c>
      <c r="X10" s="1019">
        <f>'Cash Flow'!X14+'Cash Flow'!X24</f>
        <v>69298.559217607035</v>
      </c>
      <c r="Y10" s="1019">
        <f>'Cash Flow'!Y14+'Cash Flow'!Y24</f>
        <v>71377.515994135247</v>
      </c>
      <c r="Z10" s="1019">
        <f>'Cash Flow'!Z14+'Cash Flow'!Z24</f>
        <v>73518.8414739593</v>
      </c>
      <c r="AA10" s="1019">
        <f>'Cash Flow'!AA14+'Cash Flow'!AA24</f>
        <v>75724.406718178085</v>
      </c>
      <c r="AB10" s="1019">
        <f>'Cash Flow'!AB14+'Cash Flow'!AB24</f>
        <v>77996.138919723424</v>
      </c>
      <c r="AC10" s="1019">
        <f>'Cash Flow'!AC14+'Cash Flow'!AC24</f>
        <v>80336.023087315130</v>
      </c>
      <c r="AD10" s="1019">
        <f>'Cash Flow'!AD14+'Cash Flow'!AD24</f>
        <v>82746.103779934580</v>
      </c>
      <c r="AE10" s="1019">
        <f>'Cash Flow'!AE14+'Cash Flow'!AE24</f>
        <v>85228.486893332622</v>
      </c>
      <c r="AF10" s="1019">
        <f>'Cash Flow'!AF14+'Cash Flow'!AF24</f>
        <v>87785.341500132607</v>
      </c>
      <c r="AG10" s="1019">
        <f>'Cash Flow'!AG14+'Cash Flow'!AG24</f>
        <v>90418.901745136594</v>
      </c>
      <c r="AH10" s="1019">
        <f>'Cash Flow'!AH14+'Cash Flow'!AH24</f>
        <v>93131.4687974907</v>
      </c>
      <c r="AI10" s="1019">
        <f>'Cash Flow'!AI14+'Cash Flow'!AI24</f>
        <v>95925.412861415418</v>
      </c>
      <c r="AJ10" s="1019">
        <f>'Cash Flow'!AJ14+'Cash Flow'!AJ24</f>
        <v>98803.175247257881</v>
      </c>
      <c r="AK10" s="1019">
        <f>'Cash Flow'!AK14+'Cash Flow'!AK24</f>
        <v>101767.2705046756</v>
      </c>
      <c r="AL10" s="1019">
        <f>'Cash Flow'!AL14+'Cash Flow'!AL24</f>
        <v>104820.2886198159</v>
      </c>
      <c r="AM10" s="1019">
        <f>'Cash Flow'!AM14+'Cash Flow'!AM24</f>
        <v>107964.8972784104</v>
      </c>
      <c r="AN10" s="1019">
        <f>'Cash Flow'!AN14+'Cash Flow'!AN24</f>
        <v>111203.8441967627</v>
      </c>
      <c r="AO10" s="1019">
        <f>'Cash Flow'!AO14+'Cash Flow'!AO24</f>
        <v>114539.9595226656</v>
      </c>
      <c r="AP10" s="1019">
        <f>'Cash Flow'!AP14+'Cash Flow'!AP24</f>
        <v>117976.1583083455</v>
      </c>
      <c r="AQ10" s="1019">
        <f>'Cash Flow'!AQ14+'Cash Flow'!AQ24</f>
        <v>121515.4430575959</v>
      </c>
      <c r="AR10" s="1019">
        <f>'Cash Flow'!AR14+'Cash Flow'!AR24</f>
        <v>125160.9063493238</v>
      </c>
      <c r="AS10" s="1019">
        <f>'Cash Flow'!AS14+'Cash Flow'!AS24</f>
        <v>128915.7335398035</v>
      </c>
      <c r="AT10" s="1019">
        <f>'Cash Flow'!AT14+'Cash Flow'!AT24</f>
        <v>132783.2055459976</v>
      </c>
      <c r="AU10" s="1019">
        <f>'Cash Flow'!AU14+'Cash Flow'!AU24</f>
        <v>136766.7017123775</v>
      </c>
      <c r="AV10" s="1019">
        <f>'Cash Flow'!AV14+'Cash Flow'!AV24</f>
        <v>140869.7027637488</v>
      </c>
      <c r="AW10" s="1019">
        <f>'Cash Flow'!AW14+'Cash Flow'!AW24</f>
        <v>145095.7938466613</v>
      </c>
      <c r="AX10" s="1019">
        <f>'Cash Flow'!AX14+'Cash Flow'!AX24</f>
        <v>149448.6676620612</v>
      </c>
      <c r="AY10" s="1019">
        <f>'Cash Flow'!AY14+'Cash Flow'!AY24</f>
        <v>153932.127691923</v>
      </c>
      <c r="AZ10" s="1019">
        <f>'Cash Flow'!AZ14+'Cash Flow'!AZ24</f>
        <v>158550.0915226807</v>
      </c>
      <c r="BA10" s="1019">
        <f>'Cash Flow'!BA14+'Cash Flow'!BA24</f>
        <v>163306.5942683611</v>
      </c>
      <c r="BB10" s="1019">
        <f>'Cash Flow'!BB14+'Cash Flow'!BB24</f>
        <v>168205.792096412</v>
      </c>
    </row>
    <row r="11" ht="14.25" customHeight="1">
      <c r="A11" t="s" s="1018">
        <v>175</v>
      </c>
      <c r="B11" s="1034"/>
      <c r="C11" s="1019">
        <f>'Cash Flow'!C15</f>
        <v>0</v>
      </c>
      <c r="D11" s="1019">
        <f>'Cash Flow'!D15</f>
        <v>0</v>
      </c>
      <c r="E11" s="1019">
        <f>'Cash Flow'!E15+'Cash Flow'!E25</f>
        <v>-658.3333333333333</v>
      </c>
      <c r="F11" s="1019">
        <f>'Cash Flow'!F15+'Cash Flow'!F25</f>
        <v>-814</v>
      </c>
      <c r="G11" s="1019">
        <f>'Cash Flow'!G15+'Cash Flow'!G25</f>
        <v>-839</v>
      </c>
      <c r="H11" s="1019">
        <f>'Cash Flow'!H15+'Cash Flow'!H25</f>
        <v>-864</v>
      </c>
      <c r="I11" s="1019">
        <f>'Cash Flow'!I15+'Cash Flow'!I25</f>
        <v>-890</v>
      </c>
      <c r="J11" s="1019">
        <f>'Cash Flow'!J15+'Cash Flow'!J25</f>
        <v>-916</v>
      </c>
      <c r="K11" s="1019">
        <f>'Cash Flow'!K15+'Cash Flow'!K25</f>
        <v>-944</v>
      </c>
      <c r="L11" s="1019">
        <f>'Cash Flow'!L15+'Cash Flow'!L25</f>
        <v>-972</v>
      </c>
      <c r="M11" s="1019">
        <f>'Cash Flow'!M15+'Cash Flow'!M25</f>
        <v>-1001</v>
      </c>
      <c r="N11" s="1019">
        <f>'Cash Flow'!N15+'Cash Flow'!N25</f>
        <v>-1031</v>
      </c>
      <c r="O11" s="1019">
        <f>'Cash Flow'!O15+'Cash Flow'!O25</f>
        <v>-1062</v>
      </c>
      <c r="P11" s="1019">
        <f>'Cash Flow'!P15+'Cash Flow'!P25</f>
        <v>-1094</v>
      </c>
      <c r="Q11" s="1019">
        <f>'Cash Flow'!Q15+'Cash Flow'!Q25</f>
        <v>-1127</v>
      </c>
      <c r="R11" s="1019">
        <f>'Cash Flow'!R15+'Cash Flow'!R25</f>
        <v>-1161</v>
      </c>
      <c r="S11" s="1019">
        <f>'Cash Flow'!S15+'Cash Flow'!S25</f>
        <v>-1196</v>
      </c>
      <c r="T11" s="1019">
        <f>'Cash Flow'!T15+'Cash Flow'!T25</f>
        <v>-1231</v>
      </c>
      <c r="U11" s="1019">
        <f>'Cash Flow'!U15+'Cash Flow'!U25</f>
        <v>-1268</v>
      </c>
      <c r="V11" s="1019">
        <f>'Cash Flow'!V15+'Cash Flow'!V25</f>
        <v>-1306</v>
      </c>
      <c r="W11" s="1019">
        <f>'Cash Flow'!W15+'Cash Flow'!W25</f>
        <v>-1346</v>
      </c>
      <c r="X11" s="1019">
        <f>'Cash Flow'!X15+'Cash Flow'!X25</f>
        <v>-1386</v>
      </c>
      <c r="Y11" s="1019">
        <f>'Cash Flow'!Y15+'Cash Flow'!Y25</f>
        <v>-1428</v>
      </c>
      <c r="Z11" s="1019">
        <f>'Cash Flow'!Z15+'Cash Flow'!Z25</f>
        <v>-1470</v>
      </c>
      <c r="AA11" s="1019">
        <f>'Cash Flow'!AA15+'Cash Flow'!AA25</f>
        <v>-1514</v>
      </c>
      <c r="AB11" s="1019">
        <f>'Cash Flow'!AB15+'Cash Flow'!AB25</f>
        <v>-1560</v>
      </c>
      <c r="AC11" s="1019">
        <f>'Cash Flow'!AC15+'Cash Flow'!AC25</f>
        <v>-1607</v>
      </c>
      <c r="AD11" s="1019">
        <f>'Cash Flow'!AD15+'Cash Flow'!AD25</f>
        <v>-1655</v>
      </c>
      <c r="AE11" s="1019">
        <f>'Cash Flow'!AE15+'Cash Flow'!AE25</f>
        <v>-1705</v>
      </c>
      <c r="AF11" s="1019">
        <f>'Cash Flow'!AF15+'Cash Flow'!AF25</f>
        <v>-1756</v>
      </c>
      <c r="AG11" s="1019">
        <f>'Cash Flow'!AG15+'Cash Flow'!AG25</f>
        <v>-1808</v>
      </c>
      <c r="AH11" s="1019">
        <f>'Cash Flow'!AH15+'Cash Flow'!AH25</f>
        <v>-1863</v>
      </c>
      <c r="AI11" s="1019">
        <f>'Cash Flow'!AI15+'Cash Flow'!AI25</f>
        <v>-1919</v>
      </c>
      <c r="AJ11" s="1019">
        <f>'Cash Flow'!AJ15+'Cash Flow'!AJ25</f>
        <v>-1976</v>
      </c>
      <c r="AK11" s="1019">
        <f>'Cash Flow'!AK15+'Cash Flow'!AK25</f>
        <v>-2035</v>
      </c>
      <c r="AL11" s="1019">
        <f>'Cash Flow'!AL15+'Cash Flow'!AL25</f>
        <v>-2096</v>
      </c>
      <c r="AM11" s="1019">
        <f>'Cash Flow'!AM15+'Cash Flow'!AM25</f>
        <v>-2159</v>
      </c>
      <c r="AN11" s="1019">
        <f>'Cash Flow'!AN15+'Cash Flow'!AN25</f>
        <v>-2224</v>
      </c>
      <c r="AO11" s="1019">
        <f>'Cash Flow'!AO15+'Cash Flow'!AO25</f>
        <v>-2291</v>
      </c>
      <c r="AP11" s="1019">
        <f>'Cash Flow'!AP15+'Cash Flow'!AP25</f>
        <v>-2360</v>
      </c>
      <c r="AQ11" s="1019">
        <f>'Cash Flow'!AQ15+'Cash Flow'!AQ25</f>
        <v>-2430</v>
      </c>
      <c r="AR11" s="1019">
        <f>'Cash Flow'!AR15+'Cash Flow'!AR25</f>
        <v>-2503</v>
      </c>
      <c r="AS11" s="1019">
        <f>'Cash Flow'!AS15+'Cash Flow'!AS25</f>
        <v>-2578</v>
      </c>
      <c r="AT11" s="1019">
        <f>'Cash Flow'!AT15+'Cash Flow'!AT25</f>
        <v>-2656</v>
      </c>
      <c r="AU11" s="1019">
        <f>'Cash Flow'!AU15+'Cash Flow'!AU25</f>
        <v>-2735</v>
      </c>
      <c r="AV11" s="1019">
        <f>'Cash Flow'!AV15+'Cash Flow'!AV25</f>
        <v>-2817</v>
      </c>
      <c r="AW11" s="1019">
        <f>'Cash Flow'!AW15+'Cash Flow'!AW25</f>
        <v>-2902</v>
      </c>
      <c r="AX11" s="1019">
        <f>'Cash Flow'!AX15+'Cash Flow'!AX25</f>
        <v>-2989</v>
      </c>
      <c r="AY11" s="1019">
        <f>'Cash Flow'!AY15+'Cash Flow'!AY25</f>
        <v>-3079</v>
      </c>
      <c r="AZ11" s="1019">
        <f>'Cash Flow'!AZ15+'Cash Flow'!AZ25</f>
        <v>-3171</v>
      </c>
      <c r="BA11" s="1019">
        <f>'Cash Flow'!BA15+'Cash Flow'!BA25</f>
        <v>-3266</v>
      </c>
      <c r="BB11" s="1019">
        <f>'Cash Flow'!BB15+'Cash Flow'!BB25</f>
        <v>-3364</v>
      </c>
    </row>
    <row r="12" ht="14.25" customHeight="1">
      <c r="A12" s="1007"/>
      <c r="B12" s="1034"/>
      <c r="C12" s="1022"/>
      <c r="D12" s="1022"/>
      <c r="E12" s="1022"/>
      <c r="F12" s="1022"/>
      <c r="G12" s="1022"/>
      <c r="H12" s="1022"/>
      <c r="I12" s="1022"/>
      <c r="J12" s="1022"/>
      <c r="K12" s="1022"/>
      <c r="L12" s="1022"/>
      <c r="M12" s="1022"/>
      <c r="N12" s="1022"/>
      <c r="O12" s="1022"/>
      <c r="P12" s="1022"/>
      <c r="Q12" s="1022"/>
      <c r="R12" s="1022"/>
      <c r="S12" s="1022"/>
      <c r="T12" s="1022"/>
      <c r="U12" s="1022"/>
      <c r="V12" s="1022"/>
      <c r="W12" s="1022"/>
      <c r="X12" s="1022"/>
      <c r="Y12" s="1022"/>
      <c r="Z12" s="1022"/>
      <c r="AA12" s="1022"/>
      <c r="AB12" s="1022"/>
      <c r="AC12" s="1022"/>
      <c r="AD12" s="1022"/>
      <c r="AE12" s="1022"/>
      <c r="AF12" s="1022"/>
      <c r="AG12" s="1022"/>
      <c r="AH12" s="1022"/>
      <c r="AI12" s="1022"/>
      <c r="AJ12" s="1022"/>
      <c r="AK12" s="1022"/>
      <c r="AL12" s="1022"/>
      <c r="AM12" s="1022"/>
      <c r="AN12" s="1022"/>
      <c r="AO12" s="1022"/>
      <c r="AP12" s="1022"/>
      <c r="AQ12" s="1022"/>
      <c r="AR12" s="1022"/>
      <c r="AS12" s="1022"/>
      <c r="AT12" s="1022"/>
      <c r="AU12" s="1022"/>
      <c r="AV12" s="1022"/>
      <c r="AW12" s="1022"/>
      <c r="AX12" s="1022"/>
      <c r="AY12" s="1022"/>
      <c r="AZ12" s="1022"/>
      <c r="BA12" s="1022"/>
      <c r="BB12" s="1022"/>
    </row>
    <row r="13" ht="16.5" customHeight="1">
      <c r="A13" t="s" s="1030">
        <v>1015</v>
      </c>
      <c r="B13" s="1012"/>
      <c r="C13" s="1029">
        <f>SUM(C10:C11)</f>
        <v>0</v>
      </c>
      <c r="D13" s="1029">
        <f>SUM(D10:D11)</f>
        <v>0</v>
      </c>
      <c r="E13" s="1029">
        <f>SUM(E10:E11)</f>
        <v>32275</v>
      </c>
      <c r="F13" s="1029">
        <f>SUM(F10:F11)</f>
        <v>39891.6</v>
      </c>
      <c r="G13" s="1029">
        <f>SUM(G10:G11)</f>
        <v>41087.768</v>
      </c>
      <c r="H13" s="1029">
        <f>SUM(H10:H11)</f>
        <v>42320.57104</v>
      </c>
      <c r="I13" s="1029">
        <f>SUM(I10:I11)</f>
        <v>43590.108171199994</v>
      </c>
      <c r="J13" s="1029">
        <f>SUM(J10:J11)</f>
        <v>44898.511416336</v>
      </c>
      <c r="K13" s="1029">
        <f>SUM(K10:K11)</f>
        <v>46244.946758826081</v>
      </c>
      <c r="L13" s="1029">
        <f>SUM(L10:L11)</f>
        <v>47632.615161590868</v>
      </c>
      <c r="M13" s="1029">
        <f>SUM(M10:M11)</f>
        <v>49061.7536164386</v>
      </c>
      <c r="N13" s="1029">
        <f>SUM(N10:N11)</f>
        <v>50533.636224931754</v>
      </c>
      <c r="O13" s="1029">
        <f>SUM(O10:O11)</f>
        <v>52049.575311679706</v>
      </c>
      <c r="P13" s="1029">
        <f>SUM(P10:P11)</f>
        <v>53610.9225710301</v>
      </c>
      <c r="Q13" s="1029">
        <f>SUM(Q10:Q11)</f>
        <v>55219.070248161</v>
      </c>
      <c r="R13" s="1029">
        <f>SUM(R10:R11)</f>
        <v>56875.452355605827</v>
      </c>
      <c r="S13" s="1029">
        <f>SUM(S10:S11)</f>
        <v>58581.545926274</v>
      </c>
      <c r="T13" s="1029">
        <f>SUM(T10:T11)</f>
        <v>60339.872304062228</v>
      </c>
      <c r="U13" s="1029">
        <f>SUM(U10:U11)</f>
        <v>62149.9984731841</v>
      </c>
      <c r="V13" s="1029">
        <f>SUM(V10:V11)</f>
        <v>64014.538427379623</v>
      </c>
      <c r="W13" s="1029">
        <f>SUM(W10:W11)</f>
        <v>65934.154580201008</v>
      </c>
      <c r="X13" s="1029">
        <f>SUM(X10:X11)</f>
        <v>67912.559217607035</v>
      </c>
      <c r="Y13" s="1029">
        <f>SUM(Y10:Y11)</f>
        <v>69949.515994135247</v>
      </c>
      <c r="Z13" s="1029">
        <f>SUM(Z10:Z11)</f>
        <v>72048.8414739593</v>
      </c>
      <c r="AA13" s="1029">
        <f>SUM(AA10:AA11)</f>
        <v>74210.406718178085</v>
      </c>
      <c r="AB13" s="1029">
        <f>SUM(AB10:AB11)</f>
        <v>76436.138919723424</v>
      </c>
      <c r="AC13" s="1029">
        <f>SUM(AC10:AC11)</f>
        <v>78729.023087315130</v>
      </c>
      <c r="AD13" s="1029">
        <f>SUM(AD10:AD11)</f>
        <v>81091.103779934580</v>
      </c>
      <c r="AE13" s="1029">
        <f>SUM(AE10:AE11)</f>
        <v>83523.486893332622</v>
      </c>
      <c r="AF13" s="1029">
        <f>SUM(AF10:AF11)</f>
        <v>86029.341500132607</v>
      </c>
      <c r="AG13" s="1029">
        <f>SUM(AG10:AG11)</f>
        <v>88610.901745136594</v>
      </c>
      <c r="AH13" s="1029">
        <f>SUM(AH10:AH11)</f>
        <v>91268.4687974907</v>
      </c>
      <c r="AI13" s="1029">
        <f>SUM(AI10:AI11)</f>
        <v>94006.412861415418</v>
      </c>
      <c r="AJ13" s="1029">
        <f>SUM(AJ10:AJ11)</f>
        <v>96827.175247257881</v>
      </c>
      <c r="AK13" s="1029">
        <f>SUM(AK10:AK11)</f>
        <v>99732.270504675616</v>
      </c>
      <c r="AL13" s="1029">
        <f>SUM(AL10:AL11)</f>
        <v>102724.2886198159</v>
      </c>
      <c r="AM13" s="1029">
        <f>SUM(AM10:AM11)</f>
        <v>105805.8972784104</v>
      </c>
      <c r="AN13" s="1029">
        <f>SUM(AN10:AN11)</f>
        <v>108979.8441967627</v>
      </c>
      <c r="AO13" s="1029">
        <f>SUM(AO10:AO11)</f>
        <v>112248.9595226656</v>
      </c>
      <c r="AP13" s="1029">
        <f>SUM(AP10:AP11)</f>
        <v>115616.1583083455</v>
      </c>
      <c r="AQ13" s="1029">
        <f>SUM(AQ10:AQ11)</f>
        <v>119085.4430575959</v>
      </c>
      <c r="AR13" s="1029">
        <f>SUM(AR10:AR11)</f>
        <v>122657.9063493238</v>
      </c>
      <c r="AS13" s="1029">
        <f>SUM(AS10:AS11)</f>
        <v>126337.7335398035</v>
      </c>
      <c r="AT13" s="1029">
        <f>SUM(AT10:AT11)</f>
        <v>130127.2055459976</v>
      </c>
      <c r="AU13" s="1029">
        <f>SUM(AU10:AU11)</f>
        <v>134031.7017123775</v>
      </c>
      <c r="AV13" s="1029">
        <f>SUM(AV10:AV11)</f>
        <v>138052.7027637488</v>
      </c>
      <c r="AW13" s="1029">
        <f>SUM(AW10:AW11)</f>
        <v>142193.7938466613</v>
      </c>
      <c r="AX13" s="1029">
        <f>SUM(AX10:AX11)</f>
        <v>146459.6676620612</v>
      </c>
      <c r="AY13" s="1029">
        <f>SUM(AY10:AY11)</f>
        <v>150853.127691923</v>
      </c>
      <c r="AZ13" s="1029">
        <f>SUM(AZ10:AZ11)</f>
        <v>155379.0915226807</v>
      </c>
      <c r="BA13" s="1029">
        <f>SUM(BA10:BA11)</f>
        <v>160040.5942683611</v>
      </c>
      <c r="BB13" s="1029">
        <f>SUM(BB10:BB11)</f>
        <v>164841.792096412</v>
      </c>
    </row>
    <row r="14" ht="14.25" customHeight="1">
      <c r="A14" t="s" s="1018">
        <v>1063</v>
      </c>
      <c r="B14" s="1007"/>
      <c r="C14" s="1125">
        <f>IF(C11=0,0,-C11/C10)</f>
        <v>0</v>
      </c>
      <c r="D14" s="1125">
        <f>IF(D11=0,0,-D11/D10)</f>
        <v>0</v>
      </c>
      <c r="E14" s="1125">
        <f>-E11/E10</f>
        <v>0.01998987854251012</v>
      </c>
      <c r="F14" s="1125">
        <f>-F11/F10</f>
        <v>0.019997248535828</v>
      </c>
      <c r="G14" s="1125">
        <f>-G11/G10</f>
        <v>0.02001108218024342</v>
      </c>
      <c r="H14" s="1125">
        <f>-H11/H10</f>
        <v>0.02000714558909742</v>
      </c>
      <c r="I14" s="1125">
        <f>-I11/I10</f>
        <v>0.02000894414587458</v>
      </c>
      <c r="J14" s="1125">
        <f>-J11/J10</f>
        <v>0.01999366514412688</v>
      </c>
      <c r="K14" s="1125">
        <f>-K11/K10</f>
        <v>0.02000468467382008</v>
      </c>
      <c r="L14" s="1125">
        <f>-L11/L10</f>
        <v>0.01999810093688613</v>
      </c>
      <c r="M14" s="1125">
        <f>-M11/M10</f>
        <v>0.01999490494808323</v>
      </c>
      <c r="N14" s="1125">
        <f>-N11/N10</f>
        <v>0.01999432315400504</v>
      </c>
      <c r="O14" s="1125">
        <f>-O11/O10</f>
        <v>0.01999564113411746</v>
      </c>
      <c r="P14" s="1125">
        <f>-P11/P10</f>
        <v>0.01999820031880177</v>
      </c>
      <c r="Q14" s="1125">
        <f>-Q11/Q10</f>
        <v>0.0200013948627905</v>
      </c>
      <c r="R14" s="1125">
        <f>-R11/R10</f>
        <v>0.0200046686673097</v>
      </c>
      <c r="S14" s="1125">
        <f>-S11/S10</f>
        <v>0.02000751254451084</v>
      </c>
      <c r="T14" s="1125">
        <f>-T11/T10</f>
        <v>0.01999322007199796</v>
      </c>
      <c r="U14" s="1125">
        <f>-U11/U10</f>
        <v>0.01999432385959273</v>
      </c>
      <c r="V14" s="1125">
        <f>-V11/V10</f>
        <v>0.019993711494769</v>
      </c>
      <c r="W14" s="1125">
        <f>-W11/W10</f>
        <v>0.02000589933834808</v>
      </c>
      <c r="X14" s="1125">
        <f>-X11/X10</f>
        <v>0.02000041581885951</v>
      </c>
      <c r="Y14" s="1125">
        <f>-Y11/Y10</f>
        <v>0.02000630002474914</v>
      </c>
      <c r="Z14" s="1125">
        <f>-Z11/Z10</f>
        <v>0.019994874382245</v>
      </c>
      <c r="AA14" s="1125">
        <f>-AA11/AA10</f>
        <v>0.0199935538040545</v>
      </c>
      <c r="AB14" s="1125">
        <f>-AB11/AB10</f>
        <v>0.0200009900695932</v>
      </c>
      <c r="AC14" s="1125">
        <f>-AC11/AC10</f>
        <v>0.0200034796127933</v>
      </c>
      <c r="AD14" s="1125">
        <f>-AD11/AD10</f>
        <v>0.02000094172894854</v>
      </c>
      <c r="AE14" s="1125">
        <f>-AE11/AE10</f>
        <v>0.02000504833711158</v>
      </c>
      <c r="AF14" s="1125">
        <f>-AF11/AF10</f>
        <v>0.0200033396235902</v>
      </c>
      <c r="AG14" s="1125">
        <f>-AG11/AG10</f>
        <v>0.01999581907216925</v>
      </c>
      <c r="AH14" s="1125">
        <f>-AH11/AH10</f>
        <v>0.02000397957913658</v>
      </c>
      <c r="AI14" s="1125">
        <f>-AI11/AI10</f>
        <v>0.02000512630341662</v>
      </c>
      <c r="AJ14" s="1125">
        <f>-AJ11/AJ10</f>
        <v>0.01999935725805371</v>
      </c>
      <c r="AK14" s="1125">
        <f>-AK11/AK10</f>
        <v>0.01999660588230578</v>
      </c>
      <c r="AL14" s="1125">
        <f>-AL11/AL10</f>
        <v>0.01999612887541467</v>
      </c>
      <c r="AM14" s="1125">
        <f>-AM11/AM10</f>
        <v>0.01999724034778231</v>
      </c>
      <c r="AN14" s="1125">
        <f>-AN11/AN10</f>
        <v>0.01999930862160559</v>
      </c>
      <c r="AO14" s="1125">
        <f>-AO11/AO10</f>
        <v>0.02000175318332157</v>
      </c>
      <c r="AP14" s="1125">
        <f>-AP11/AP10</f>
        <v>0.02000404178132198</v>
      </c>
      <c r="AQ14" s="1125">
        <f>-AQ11/AQ10</f>
        <v>0.01999745825597022</v>
      </c>
      <c r="AR14" s="1125">
        <f>-AR11/AR10</f>
        <v>0.01999825722749349</v>
      </c>
      <c r="AS14" s="1125">
        <f>-AS11/AS10</f>
        <v>0.01999755909703626</v>
      </c>
      <c r="AT14" s="1125">
        <f>-AT11/AT10</f>
        <v>0.02000252960514597</v>
      </c>
      <c r="AU14" s="1125">
        <f>-AU11/AU10</f>
        <v>0.01999755763469201</v>
      </c>
      <c r="AV14" s="1125">
        <f>-AV11/AV10</f>
        <v>0.01999720269676697</v>
      </c>
      <c r="AW14" s="1125">
        <f>-AW11/AW10</f>
        <v>0.02000057977605376</v>
      </c>
      <c r="AX14" s="1125">
        <f>-AX11/AX10</f>
        <v>0.02000017830041039</v>
      </c>
      <c r="AY14" s="1125">
        <f>-AY11/AY10</f>
        <v>0.02000232210238954</v>
      </c>
      <c r="AZ14" s="1125">
        <f>-AZ11/AZ10</f>
        <v>0.01999998845504537</v>
      </c>
      <c r="BA14" s="1125">
        <f>-BA11/BA10</f>
        <v>0.01999919240635803</v>
      </c>
      <c r="BB14" s="1125">
        <f>-BB11/BB10</f>
        <v>0.01999931130832776</v>
      </c>
    </row>
    <row r="15" ht="14.25" customHeight="1">
      <c r="A15" s="1007"/>
      <c r="B15" s="1007"/>
      <c r="C15" s="1007"/>
      <c r="D15" s="1007"/>
      <c r="E15" s="1069"/>
      <c r="F15" s="1069"/>
      <c r="G15" s="1069"/>
      <c r="H15" s="1069"/>
      <c r="I15" s="1069"/>
      <c r="J15" s="1069"/>
      <c r="K15" s="1069"/>
      <c r="L15" s="1069"/>
      <c r="M15" s="1069"/>
      <c r="N15" s="1069"/>
      <c r="O15" s="1069"/>
      <c r="P15" s="1069"/>
      <c r="Q15" s="1069"/>
      <c r="R15" s="1069"/>
      <c r="S15" s="1069"/>
      <c r="T15" s="1069"/>
      <c r="U15" s="1069"/>
      <c r="V15" s="1069"/>
      <c r="W15" s="1069"/>
      <c r="X15" s="1069"/>
      <c r="Y15" s="1069"/>
      <c r="Z15" s="1069"/>
      <c r="AA15" s="1069"/>
      <c r="AB15" s="1069"/>
      <c r="AC15" s="1069"/>
      <c r="AD15" s="1069"/>
      <c r="AE15" s="1069"/>
      <c r="AF15" s="1069"/>
      <c r="AG15" s="1069"/>
      <c r="AH15" s="1069"/>
      <c r="AI15" s="1069"/>
      <c r="AJ15" s="1069"/>
      <c r="AK15" s="1069"/>
      <c r="AL15" s="1069"/>
      <c r="AM15" s="1069"/>
      <c r="AN15" s="1069"/>
      <c r="AO15" s="1069"/>
      <c r="AP15" s="1069"/>
      <c r="AQ15" s="1069"/>
      <c r="AR15" s="1069"/>
      <c r="AS15" s="1069"/>
      <c r="AT15" s="1069"/>
      <c r="AU15" s="1069"/>
      <c r="AV15" s="1069"/>
      <c r="AW15" s="1069"/>
      <c r="AX15" s="1069"/>
      <c r="AY15" s="1069"/>
      <c r="AZ15" s="1069"/>
      <c r="BA15" s="1069"/>
      <c r="BB15" s="1069"/>
    </row>
    <row r="16" ht="16" customHeight="1">
      <c r="A16" t="s" s="1030">
        <v>1016</v>
      </c>
      <c r="B16" s="1012"/>
      <c r="C16" s="1012"/>
      <c r="D16" s="1012"/>
      <c r="E16" s="1069"/>
      <c r="F16" s="1069"/>
      <c r="G16" s="1069"/>
      <c r="H16" s="1069"/>
      <c r="I16" s="1069"/>
      <c r="J16" s="1069"/>
      <c r="K16" s="1069"/>
      <c r="L16" s="1069"/>
      <c r="M16" s="1069"/>
      <c r="N16" s="1069"/>
      <c r="O16" s="1069"/>
      <c r="P16" s="1069"/>
      <c r="Q16" s="1069"/>
      <c r="R16" s="1069"/>
      <c r="S16" s="1069"/>
      <c r="T16" s="1069"/>
      <c r="U16" s="1069"/>
      <c r="V16" s="1069"/>
      <c r="W16" s="1069"/>
      <c r="X16" s="1069"/>
      <c r="Y16" s="1069"/>
      <c r="Z16" s="1069"/>
      <c r="AA16" s="1069"/>
      <c r="AB16" s="1069"/>
      <c r="AC16" s="1069"/>
      <c r="AD16" s="1069"/>
      <c r="AE16" s="1069"/>
      <c r="AF16" s="1069"/>
      <c r="AG16" s="1069"/>
      <c r="AH16" s="1069"/>
      <c r="AI16" s="1069"/>
      <c r="AJ16" s="1069"/>
      <c r="AK16" s="1069"/>
      <c r="AL16" s="1069"/>
      <c r="AM16" s="1069"/>
      <c r="AN16" s="1069"/>
      <c r="AO16" s="1069"/>
      <c r="AP16" s="1069"/>
      <c r="AQ16" s="1069"/>
      <c r="AR16" s="1069"/>
      <c r="AS16" s="1069"/>
      <c r="AT16" s="1069"/>
      <c r="AU16" s="1069"/>
      <c r="AV16" s="1069"/>
      <c r="AW16" s="1069"/>
      <c r="AX16" s="1069"/>
      <c r="AY16" s="1069"/>
      <c r="AZ16" s="1069"/>
      <c r="BA16" s="1069"/>
      <c r="BB16" s="1069"/>
    </row>
    <row r="17" ht="15" customHeight="1">
      <c r="A17" t="s" s="1027">
        <f>'Cash Flow'!A32</f>
        <v>1064</v>
      </c>
      <c r="B17" s="1028"/>
      <c r="C17" s="1126">
        <f>'Cash Flow'!C32</f>
        <v>0</v>
      </c>
      <c r="D17" s="1126">
        <f>'Cash Flow'!D32</f>
        <v>0</v>
      </c>
      <c r="E17" s="1126">
        <f>'Cash Flow'!E32+'Cash Flow'!E37</f>
        <v>-1766.666666666667</v>
      </c>
      <c r="F17" s="1126">
        <f>'Cash Flow'!F32+'Cash Flow'!F37</f>
        <v>-2184</v>
      </c>
      <c r="G17" s="1126">
        <f>'Cash Flow'!G32+'Cash Flow'!G37</f>
        <v>-2250</v>
      </c>
      <c r="H17" s="1126">
        <f>'Cash Flow'!H32+'Cash Flow'!H37</f>
        <v>-2318</v>
      </c>
      <c r="I17" s="1126">
        <f>'Cash Flow'!I32+'Cash Flow'!I37</f>
        <v>-2388</v>
      </c>
      <c r="J17" s="1126">
        <f>'Cash Flow'!J32+'Cash Flow'!J37</f>
        <v>-2460</v>
      </c>
      <c r="K17" s="1126">
        <f>'Cash Flow'!K32+'Cash Flow'!K37</f>
        <v>-2534</v>
      </c>
      <c r="L17" s="1126">
        <f>'Cash Flow'!L32+'Cash Flow'!L37</f>
        <v>-2610</v>
      </c>
      <c r="M17" s="1126">
        <f>'Cash Flow'!M32+'Cash Flow'!M37</f>
        <v>-2688</v>
      </c>
      <c r="N17" s="1126">
        <f>'Cash Flow'!N32+'Cash Flow'!N37</f>
        <v>-2769</v>
      </c>
      <c r="O17" s="1126">
        <f>'Cash Flow'!O32+'Cash Flow'!O37</f>
        <v>-2852</v>
      </c>
      <c r="P17" s="1126">
        <f>'Cash Flow'!P32+'Cash Flow'!P37</f>
        <v>-2938</v>
      </c>
      <c r="Q17" s="1126">
        <f>'Cash Flow'!Q32+'Cash Flow'!Q37</f>
        <v>-3026</v>
      </c>
      <c r="R17" s="1126">
        <f>'Cash Flow'!R32+'Cash Flow'!R37</f>
        <v>-3117</v>
      </c>
      <c r="S17" s="1126">
        <f>'Cash Flow'!S32+'Cash Flow'!S37</f>
        <v>-3211</v>
      </c>
      <c r="T17" s="1126">
        <f>'Cash Flow'!T32+'Cash Flow'!T37</f>
        <v>-3307</v>
      </c>
      <c r="U17" s="1126">
        <f>'Cash Flow'!U32+'Cash Flow'!U37</f>
        <v>-3406</v>
      </c>
      <c r="V17" s="1126">
        <f>'Cash Flow'!V32+'Cash Flow'!V37</f>
        <v>-3508</v>
      </c>
      <c r="W17" s="1126">
        <f>'Cash Flow'!W32+'Cash Flow'!W37</f>
        <v>-3613</v>
      </c>
      <c r="X17" s="1126">
        <f>'Cash Flow'!X32+'Cash Flow'!X37</f>
        <v>-3721</v>
      </c>
      <c r="Y17" s="1126">
        <f>'Cash Flow'!Y32+'Cash Flow'!Y37</f>
        <v>-3833</v>
      </c>
      <c r="Z17" s="1126">
        <f>'Cash Flow'!Z32+'Cash Flow'!Z37</f>
        <v>-3948</v>
      </c>
      <c r="AA17" s="1126">
        <f>'Cash Flow'!AA32+'Cash Flow'!AA37</f>
        <v>-4066</v>
      </c>
      <c r="AB17" s="1126">
        <f>'Cash Flow'!AB32+'Cash Flow'!AB37</f>
        <v>-4188</v>
      </c>
      <c r="AC17" s="1126">
        <f>'Cash Flow'!AC32+'Cash Flow'!AC37</f>
        <v>-4314</v>
      </c>
      <c r="AD17" s="1126">
        <f>'Cash Flow'!AD32+'Cash Flow'!AD37</f>
        <v>-4443</v>
      </c>
      <c r="AE17" s="1126">
        <f>'Cash Flow'!AE32+'Cash Flow'!AE37</f>
        <v>-4576</v>
      </c>
      <c r="AF17" s="1126">
        <f>'Cash Flow'!AF32+'Cash Flow'!AF37</f>
        <v>-4713</v>
      </c>
      <c r="AG17" s="1126">
        <f>'Cash Flow'!AG32+'Cash Flow'!AG37</f>
        <v>-4854</v>
      </c>
      <c r="AH17" s="1126">
        <f>'Cash Flow'!AH32+'Cash Flow'!AH37</f>
        <v>-5000</v>
      </c>
      <c r="AI17" s="1126">
        <f>'Cash Flow'!AI32+'Cash Flow'!AI37</f>
        <v>-5150</v>
      </c>
      <c r="AJ17" s="1126">
        <f>'Cash Flow'!AJ32+'Cash Flow'!AJ37</f>
        <v>-5305</v>
      </c>
      <c r="AK17" s="1126">
        <f>'Cash Flow'!AK32+'Cash Flow'!AK37</f>
        <v>-5464</v>
      </c>
      <c r="AL17" s="1126">
        <f>'Cash Flow'!AL32+'Cash Flow'!AL37</f>
        <v>-5628</v>
      </c>
      <c r="AM17" s="1126">
        <f>'Cash Flow'!AM32+'Cash Flow'!AM37</f>
        <v>-5797</v>
      </c>
      <c r="AN17" s="1126">
        <f>'Cash Flow'!AN32+'Cash Flow'!AN37</f>
        <v>-5971</v>
      </c>
      <c r="AO17" s="1126">
        <f>'Cash Flow'!AO32+'Cash Flow'!AO37</f>
        <v>-6150</v>
      </c>
      <c r="AP17" s="1126">
        <f>'Cash Flow'!AP32+'Cash Flow'!AP37</f>
        <v>-6335</v>
      </c>
      <c r="AQ17" s="1126">
        <f>'Cash Flow'!AQ32+'Cash Flow'!AQ37</f>
        <v>-6525</v>
      </c>
      <c r="AR17" s="1126">
        <f>'Cash Flow'!AR32+'Cash Flow'!AR37</f>
        <v>-6721</v>
      </c>
      <c r="AS17" s="1126">
        <f>'Cash Flow'!AS32+'Cash Flow'!AS37</f>
        <v>-6923</v>
      </c>
      <c r="AT17" s="1126">
        <f>'Cash Flow'!AT32+'Cash Flow'!AT37</f>
        <v>-7131</v>
      </c>
      <c r="AU17" s="1126">
        <f>'Cash Flow'!AU32+'Cash Flow'!AU37</f>
        <v>-7345</v>
      </c>
      <c r="AV17" s="1126">
        <f>'Cash Flow'!AV32+'Cash Flow'!AV37</f>
        <v>-7565</v>
      </c>
      <c r="AW17" s="1126">
        <f>'Cash Flow'!AW32+'Cash Flow'!AW37</f>
        <v>-7792</v>
      </c>
      <c r="AX17" s="1126">
        <f>'Cash Flow'!AX32+'Cash Flow'!AX37</f>
        <v>-8026</v>
      </c>
      <c r="AY17" s="1126">
        <f>'Cash Flow'!AY32+'Cash Flow'!AY37</f>
        <v>-8267</v>
      </c>
      <c r="AZ17" s="1126">
        <f>'Cash Flow'!AZ32+'Cash Flow'!AZ37</f>
        <v>-8515</v>
      </c>
      <c r="BA17" s="1126">
        <f>'Cash Flow'!BA32+'Cash Flow'!BA37</f>
        <v>-8770</v>
      </c>
      <c r="BB17" s="1126">
        <f>'Cash Flow'!BB32+'Cash Flow'!BB37</f>
        <v>-9033</v>
      </c>
    </row>
    <row r="18" ht="14.25" customHeight="1">
      <c r="A18" t="s" s="1018">
        <f>'Cash Flow'!A33</f>
        <v>964</v>
      </c>
      <c r="B18" s="1007"/>
      <c r="C18" s="1126">
        <f>'Cash Flow'!C33</f>
        <v>0</v>
      </c>
      <c r="D18" s="1126">
        <f>'Cash Flow'!D33</f>
        <v>0</v>
      </c>
      <c r="E18" s="1126">
        <f>'Cash Flow'!E33+'Cash Flow'!E38</f>
        <v>-3200</v>
      </c>
      <c r="F18" s="1126">
        <f>'Cash Flow'!F33+'Cash Flow'!F38</f>
        <v>-3955</v>
      </c>
      <c r="G18" s="1126">
        <f>'Cash Flow'!G33+'Cash Flow'!G38</f>
        <v>-4074</v>
      </c>
      <c r="H18" s="1126">
        <f>'Cash Flow'!H33+'Cash Flow'!H38</f>
        <v>-4196</v>
      </c>
      <c r="I18" s="1126">
        <f>'Cash Flow'!I33+'Cash Flow'!I38</f>
        <v>-4322</v>
      </c>
      <c r="J18" s="1126">
        <f>'Cash Flow'!J33+'Cash Flow'!J38</f>
        <v>-4452</v>
      </c>
      <c r="K18" s="1126">
        <f>'Cash Flow'!K33+'Cash Flow'!K38</f>
        <v>-4586</v>
      </c>
      <c r="L18" s="1126">
        <f>'Cash Flow'!L33+'Cash Flow'!L38</f>
        <v>-4724</v>
      </c>
      <c r="M18" s="1126">
        <f>'Cash Flow'!M33+'Cash Flow'!M38</f>
        <v>-4866</v>
      </c>
      <c r="N18" s="1126">
        <f>'Cash Flow'!N33+'Cash Flow'!N38</f>
        <v>-5012</v>
      </c>
      <c r="O18" s="1126">
        <f>'Cash Flow'!O33+'Cash Flow'!O38</f>
        <v>-5162</v>
      </c>
      <c r="P18" s="1126">
        <f>'Cash Flow'!P33+'Cash Flow'!P38</f>
        <v>-5317</v>
      </c>
      <c r="Q18" s="1126">
        <f>'Cash Flow'!Q33+'Cash Flow'!Q38</f>
        <v>-5477</v>
      </c>
      <c r="R18" s="1126">
        <f>'Cash Flow'!R33+'Cash Flow'!R38</f>
        <v>-5641</v>
      </c>
      <c r="S18" s="1126">
        <f>'Cash Flow'!S33+'Cash Flow'!S38</f>
        <v>-5810</v>
      </c>
      <c r="T18" s="1126">
        <f>'Cash Flow'!T33+'Cash Flow'!T38</f>
        <v>-5984</v>
      </c>
      <c r="U18" s="1126">
        <f>'Cash Flow'!U33+'Cash Flow'!U38</f>
        <v>-6164</v>
      </c>
      <c r="V18" s="1126">
        <f>'Cash Flow'!V33+'Cash Flow'!V38</f>
        <v>-6349</v>
      </c>
      <c r="W18" s="1126">
        <f>'Cash Flow'!W33+'Cash Flow'!W38</f>
        <v>-6539</v>
      </c>
      <c r="X18" s="1126">
        <f>'Cash Flow'!X33+'Cash Flow'!X38</f>
        <v>-6735</v>
      </c>
      <c r="Y18" s="1126">
        <f>'Cash Flow'!Y33+'Cash Flow'!Y38</f>
        <v>-6937</v>
      </c>
      <c r="Z18" s="1126">
        <f>'Cash Flow'!Z33+'Cash Flow'!Z38</f>
        <v>-7145</v>
      </c>
      <c r="AA18" s="1126">
        <f>'Cash Flow'!AA33+'Cash Flow'!AA38</f>
        <v>-7359</v>
      </c>
      <c r="AB18" s="1126">
        <f>'Cash Flow'!AB33+'Cash Flow'!AB38</f>
        <v>-7580</v>
      </c>
      <c r="AC18" s="1126">
        <f>'Cash Flow'!AC33+'Cash Flow'!AC38</f>
        <v>-7807</v>
      </c>
      <c r="AD18" s="1126">
        <f>'Cash Flow'!AD33+'Cash Flow'!AD38</f>
        <v>-8041</v>
      </c>
      <c r="AE18" s="1126">
        <f>'Cash Flow'!AE33+'Cash Flow'!AE38</f>
        <v>-8282</v>
      </c>
      <c r="AF18" s="1126">
        <f>'Cash Flow'!AF33+'Cash Flow'!AF38</f>
        <v>-8530</v>
      </c>
      <c r="AG18" s="1126">
        <f>'Cash Flow'!AG33+'Cash Flow'!AG38</f>
        <v>-8786</v>
      </c>
      <c r="AH18" s="1126">
        <f>'Cash Flow'!AH33+'Cash Flow'!AH38</f>
        <v>-9050</v>
      </c>
      <c r="AI18" s="1126">
        <f>'Cash Flow'!AI33+'Cash Flow'!AI38</f>
        <v>-9322</v>
      </c>
      <c r="AJ18" s="1126">
        <f>'Cash Flow'!AJ33+'Cash Flow'!AJ38</f>
        <v>-9602</v>
      </c>
      <c r="AK18" s="1126">
        <f>'Cash Flow'!AK33+'Cash Flow'!AK38</f>
        <v>-9890</v>
      </c>
      <c r="AL18" s="1126">
        <f>'Cash Flow'!AL33+'Cash Flow'!AL38</f>
        <v>-10187</v>
      </c>
      <c r="AM18" s="1126">
        <f>'Cash Flow'!AM33+'Cash Flow'!AM38</f>
        <v>-10493</v>
      </c>
      <c r="AN18" s="1126">
        <f>'Cash Flow'!AN33+'Cash Flow'!AN38</f>
        <v>-10808</v>
      </c>
      <c r="AO18" s="1126">
        <f>'Cash Flow'!AO33+'Cash Flow'!AO38</f>
        <v>-11132</v>
      </c>
      <c r="AP18" s="1126">
        <f>'Cash Flow'!AP33+'Cash Flow'!AP38</f>
        <v>-11466</v>
      </c>
      <c r="AQ18" s="1126">
        <f>'Cash Flow'!AQ33+'Cash Flow'!AQ38</f>
        <v>-11810</v>
      </c>
      <c r="AR18" s="1126">
        <f>'Cash Flow'!AR33+'Cash Flow'!AR38</f>
        <v>-12164</v>
      </c>
      <c r="AS18" s="1126">
        <f>'Cash Flow'!AS33+'Cash Flow'!AS38</f>
        <v>-12529</v>
      </c>
      <c r="AT18" s="1126">
        <f>'Cash Flow'!AT33+'Cash Flow'!AT38</f>
        <v>-12905</v>
      </c>
      <c r="AU18" s="1126">
        <f>'Cash Flow'!AU33+'Cash Flow'!AU38</f>
        <v>-13292</v>
      </c>
      <c r="AV18" s="1126">
        <f>'Cash Flow'!AV33+'Cash Flow'!AV38</f>
        <v>-13691</v>
      </c>
      <c r="AW18" s="1126">
        <f>'Cash Flow'!AW33+'Cash Flow'!AW38</f>
        <v>-14102</v>
      </c>
      <c r="AX18" s="1126">
        <f>'Cash Flow'!AX33+'Cash Flow'!AX38</f>
        <v>-14525</v>
      </c>
      <c r="AY18" s="1126">
        <f>'Cash Flow'!AY33+'Cash Flow'!AY38</f>
        <v>-14961</v>
      </c>
      <c r="AZ18" s="1126">
        <f>'Cash Flow'!AZ33+'Cash Flow'!AZ38</f>
        <v>-15410</v>
      </c>
      <c r="BA18" s="1126">
        <f>'Cash Flow'!BA33+'Cash Flow'!BA38</f>
        <v>-15872</v>
      </c>
      <c r="BB18" s="1126">
        <f>'Cash Flow'!BB33+'Cash Flow'!BB38</f>
        <v>-16348</v>
      </c>
    </row>
    <row r="19" ht="14.25" customHeight="1">
      <c r="A19" t="s" s="1018">
        <f>'Cash Flow'!A34</f>
        <v>1065</v>
      </c>
      <c r="B19" s="1007"/>
      <c r="C19" s="1127">
        <f>'Cash Flow'!C34</f>
        <v>0</v>
      </c>
      <c r="D19" s="1127">
        <f>'Cash Flow'!D34</f>
        <v>0</v>
      </c>
      <c r="E19" s="1127">
        <f>'Cash Flow'!E34</f>
        <v>0</v>
      </c>
      <c r="F19" s="1127">
        <f>'Cash Flow'!F34</f>
        <v>0</v>
      </c>
      <c r="G19" s="1127">
        <f>'Cash Flow'!G34</f>
        <v>0</v>
      </c>
      <c r="H19" s="1127">
        <f>'Cash Flow'!H34</f>
        <v>-1946.136</v>
      </c>
      <c r="I19" s="1127">
        <f>'Cash Flow'!I34</f>
        <v>-1946.136</v>
      </c>
      <c r="J19" s="1127">
        <f>'Cash Flow'!J34</f>
        <v>-1946.136</v>
      </c>
      <c r="K19" s="1127">
        <f>'Cash Flow'!K34</f>
        <v>-2311.0365</v>
      </c>
      <c r="L19" s="1127">
        <f>'Cash Flow'!L34</f>
        <v>-2311.0365</v>
      </c>
      <c r="M19" s="1127">
        <f>'Cash Flow'!M34</f>
        <v>-2311.0365</v>
      </c>
      <c r="N19" s="1127">
        <f>'Cash Flow'!N34</f>
        <v>-2797.5705</v>
      </c>
      <c r="O19" s="1127">
        <f>'Cash Flow'!O34</f>
        <v>-2797.5705</v>
      </c>
      <c r="P19" s="1127">
        <f>'Cash Flow'!P34</f>
        <v>-2797.5705</v>
      </c>
      <c r="Q19" s="1127">
        <f>'Cash Flow'!Q34</f>
        <v>-3405.738</v>
      </c>
      <c r="R19" s="1127">
        <f>'Cash Flow'!R34</f>
        <v>-3405.738</v>
      </c>
      <c r="S19" s="1127">
        <f>'Cash Flow'!S34</f>
        <v>-3405.738</v>
      </c>
      <c r="T19" s="1127">
        <f>'Cash Flow'!T34</f>
        <v>-4013.9055</v>
      </c>
      <c r="U19" s="1127">
        <f>'Cash Flow'!U34</f>
        <v>-4013.9055</v>
      </c>
      <c r="V19" s="1127">
        <f>'Cash Flow'!V34</f>
        <v>-4013.9055</v>
      </c>
      <c r="W19" s="1127">
        <f>'Cash Flow'!W34</f>
        <v>-4865.34</v>
      </c>
      <c r="X19" s="1127">
        <f>'Cash Flow'!X34</f>
        <v>-4865.34</v>
      </c>
      <c r="Y19" s="1127">
        <f>'Cash Flow'!Y34</f>
        <v>-4865.34</v>
      </c>
      <c r="Z19" s="1127">
        <f>'Cash Flow'!Z34</f>
        <v>-5838.408</v>
      </c>
      <c r="AA19" s="1127">
        <f>'Cash Flow'!AA34</f>
        <v>-5838.408</v>
      </c>
      <c r="AB19" s="1127">
        <f>'Cash Flow'!AB34</f>
        <v>-5838.408</v>
      </c>
      <c r="AC19" s="1127">
        <f>'Cash Flow'!AC34</f>
        <v>-6933.1095</v>
      </c>
      <c r="AD19" s="1127">
        <f>'Cash Flow'!AD34</f>
        <v>-6933.1095</v>
      </c>
      <c r="AE19" s="1127">
        <f>'Cash Flow'!AE34</f>
        <v>-6933.1095</v>
      </c>
      <c r="AF19" s="1127">
        <f>'Cash Flow'!AF34</f>
        <v>-8392.711500000001</v>
      </c>
      <c r="AG19" s="1127">
        <f>'Cash Flow'!AG34</f>
        <v>-8392.711500000001</v>
      </c>
      <c r="AH19" s="1127">
        <f>'Cash Flow'!AH34</f>
        <v>-8514.345000000001</v>
      </c>
      <c r="AI19" s="1127">
        <f>'Cash Flow'!AI34</f>
        <v>-19480</v>
      </c>
      <c r="AJ19" s="1127">
        <f>'Cash Flow'!AJ34</f>
        <v>-20064.4</v>
      </c>
      <c r="AK19" s="1127">
        <f>'Cash Flow'!AK34</f>
        <v>-20666.332</v>
      </c>
      <c r="AL19" s="1127">
        <f>'Cash Flow'!AL34</f>
        <v>-21286.32196</v>
      </c>
      <c r="AM19" s="1127">
        <f>'Cash Flow'!AM34</f>
        <v>-21924.9116188</v>
      </c>
      <c r="AN19" s="1127">
        <f>'Cash Flow'!AN34</f>
        <v>-22582.658967364</v>
      </c>
      <c r="AO19" s="1127">
        <f>'Cash Flow'!AO34</f>
        <v>-23260.138736384921</v>
      </c>
      <c r="AP19" s="1127">
        <f>'Cash Flow'!AP34</f>
        <v>-23957.942898476467</v>
      </c>
      <c r="AQ19" s="1127">
        <f>'Cash Flow'!AQ34</f>
        <v>-24676.681185430763</v>
      </c>
      <c r="AR19" s="1127">
        <f>'Cash Flow'!AR34</f>
        <v>-25416.981620993687</v>
      </c>
      <c r="AS19" s="1127">
        <f>'Cash Flow'!AS34</f>
        <v>-26179.4910696235</v>
      </c>
      <c r="AT19" s="1127">
        <f>'Cash Flow'!AT34</f>
        <v>-26964.875801712205</v>
      </c>
      <c r="AU19" s="1127">
        <f>'Cash Flow'!AU34</f>
        <v>-27773.822075763572</v>
      </c>
      <c r="AV19" s="1127">
        <f>'Cash Flow'!AV34</f>
        <v>-28607.036738036481</v>
      </c>
      <c r="AW19" s="1127">
        <f>'Cash Flow'!AW34</f>
        <v>-29465.247840177577</v>
      </c>
      <c r="AX19" s="1127">
        <f>'Cash Flow'!AX34</f>
        <v>-30349.2052753829</v>
      </c>
      <c r="AY19" s="1127">
        <f>'Cash Flow'!AY34</f>
        <v>-31259.681433644393</v>
      </c>
      <c r="AZ19" s="1127">
        <f>'Cash Flow'!AZ34</f>
        <v>-32197.471876653726</v>
      </c>
      <c r="BA19" s="1127">
        <f>'Cash Flow'!BA34</f>
        <v>-33163.396032953337</v>
      </c>
      <c r="BB19" s="1127">
        <f>'Cash Flow'!BB34</f>
        <v>-34158.297913941940</v>
      </c>
    </row>
    <row r="20" ht="17" customHeight="1">
      <c r="A20" t="s" s="1030">
        <v>1019</v>
      </c>
      <c r="B20" s="1012"/>
      <c r="C20" s="1128">
        <f>SUM(C17:C19)</f>
        <v>0</v>
      </c>
      <c r="D20" s="1128">
        <f>SUM(D17:D19)</f>
        <v>0</v>
      </c>
      <c r="E20" s="1128">
        <f>SUM(E17:E19)</f>
        <v>-4966.666666666666</v>
      </c>
      <c r="F20" s="1128">
        <f>SUM(F17:F19)</f>
        <v>-6139</v>
      </c>
      <c r="G20" s="1128">
        <f>SUM(G17:G19)</f>
        <v>-6324</v>
      </c>
      <c r="H20" s="1128">
        <f>SUM(H17:H19)</f>
        <v>-8460.136</v>
      </c>
      <c r="I20" s="1128">
        <f>SUM(I17:I19)</f>
        <v>-8656.136</v>
      </c>
      <c r="J20" s="1128">
        <f>SUM(J17:J19)</f>
        <v>-8858.136</v>
      </c>
      <c r="K20" s="1128">
        <f>SUM(K17:K19)</f>
        <v>-9431.0365</v>
      </c>
      <c r="L20" s="1128">
        <f>SUM(L17:L19)</f>
        <v>-9645.0365</v>
      </c>
      <c r="M20" s="1128">
        <f>SUM(M17:M19)</f>
        <v>-9865.0365</v>
      </c>
      <c r="N20" s="1128">
        <f>SUM(N17:N19)</f>
        <v>-10578.5705</v>
      </c>
      <c r="O20" s="1128">
        <f>SUM(O17:O19)</f>
        <v>-10811.5705</v>
      </c>
      <c r="P20" s="1128">
        <f>SUM(P17:P19)</f>
        <v>-11052.5705</v>
      </c>
      <c r="Q20" s="1128">
        <f>SUM(Q17:Q19)</f>
        <v>-11908.738</v>
      </c>
      <c r="R20" s="1128">
        <f>SUM(R17:R19)</f>
        <v>-12163.738</v>
      </c>
      <c r="S20" s="1128">
        <f>SUM(S17:S19)</f>
        <v>-12426.738</v>
      </c>
      <c r="T20" s="1128">
        <f>SUM(T17:T19)</f>
        <v>-13304.9055</v>
      </c>
      <c r="U20" s="1128">
        <f>SUM(U17:U19)</f>
        <v>-13583.9055</v>
      </c>
      <c r="V20" s="1128">
        <f>SUM(V17:V19)</f>
        <v>-13870.9055</v>
      </c>
      <c r="W20" s="1128">
        <f>SUM(W17:W19)</f>
        <v>-15017.34</v>
      </c>
      <c r="X20" s="1128">
        <f>SUM(X17:X19)</f>
        <v>-15321.34</v>
      </c>
      <c r="Y20" s="1128">
        <f>SUM(Y17:Y19)</f>
        <v>-15635.34</v>
      </c>
      <c r="Z20" s="1128">
        <f>SUM(Z17:Z19)</f>
        <v>-16931.408</v>
      </c>
      <c r="AA20" s="1128">
        <f>SUM(AA17:AA19)</f>
        <v>-17263.408</v>
      </c>
      <c r="AB20" s="1128">
        <f>SUM(AB17:AB19)</f>
        <v>-17606.408</v>
      </c>
      <c r="AC20" s="1128">
        <f>SUM(AC17:AC19)</f>
        <v>-19054.1095</v>
      </c>
      <c r="AD20" s="1128">
        <f>SUM(AD17:AD19)</f>
        <v>-19417.1095</v>
      </c>
      <c r="AE20" s="1128">
        <f>SUM(AE17:AE19)</f>
        <v>-19791.1095</v>
      </c>
      <c r="AF20" s="1128">
        <f>SUM(AF17:AF19)</f>
        <v>-21635.7115</v>
      </c>
      <c r="AG20" s="1128">
        <f>SUM(AG17:AG19)</f>
        <v>-22032.7115</v>
      </c>
      <c r="AH20" s="1128">
        <f>SUM(AH17:AH19)</f>
        <v>-22564.345</v>
      </c>
      <c r="AI20" s="1128">
        <f>SUM(AI17:AI19)</f>
        <v>-33952</v>
      </c>
      <c r="AJ20" s="1128">
        <f>SUM(AJ17:AJ19)</f>
        <v>-34971.4</v>
      </c>
      <c r="AK20" s="1128">
        <f>SUM(AK17:AK19)</f>
        <v>-36020.332</v>
      </c>
      <c r="AL20" s="1128">
        <f>SUM(AL17:AL19)</f>
        <v>-37101.32196</v>
      </c>
      <c r="AM20" s="1128">
        <f>SUM(AM17:AM19)</f>
        <v>-38214.9116188</v>
      </c>
      <c r="AN20" s="1128">
        <f>SUM(AN17:AN19)</f>
        <v>-39361.658967364</v>
      </c>
      <c r="AO20" s="1128">
        <f>SUM(AO17:AO19)</f>
        <v>-40542.138736384921</v>
      </c>
      <c r="AP20" s="1128">
        <f>SUM(AP17:AP19)</f>
        <v>-41758.942898476467</v>
      </c>
      <c r="AQ20" s="1128">
        <f>SUM(AQ17:AQ19)</f>
        <v>-43011.681185430760</v>
      </c>
      <c r="AR20" s="1128">
        <f>SUM(AR17:AR19)</f>
        <v>-44301.981620993683</v>
      </c>
      <c r="AS20" s="1128">
        <f>SUM(AS17:AS19)</f>
        <v>-45631.4910696235</v>
      </c>
      <c r="AT20" s="1128">
        <f>SUM(AT17:AT19)</f>
        <v>-47000.8758017122</v>
      </c>
      <c r="AU20" s="1128">
        <f>SUM(AU17:AU19)</f>
        <v>-48410.822075763572</v>
      </c>
      <c r="AV20" s="1128">
        <f>SUM(AV17:AV19)</f>
        <v>-49863.036738036477</v>
      </c>
      <c r="AW20" s="1128">
        <f>SUM(AW17:AW19)</f>
        <v>-51359.247840177573</v>
      </c>
      <c r="AX20" s="1128">
        <f>SUM(AX17:AX19)</f>
        <v>-52900.2052753829</v>
      </c>
      <c r="AY20" s="1128">
        <f>SUM(AY17:AY19)</f>
        <v>-54487.681433644393</v>
      </c>
      <c r="AZ20" s="1128">
        <f>SUM(AZ17:AZ19)</f>
        <v>-56122.471876653726</v>
      </c>
      <c r="BA20" s="1128">
        <f>SUM(BA17:BA19)</f>
        <v>-57805.396032953337</v>
      </c>
      <c r="BB20" s="1128">
        <f>SUM(BB17:BB19)</f>
        <v>-59539.297913941940</v>
      </c>
    </row>
    <row r="21" ht="14.25" customHeight="1">
      <c r="A21" s="1007"/>
      <c r="B21" s="1007"/>
      <c r="C21" s="1129"/>
      <c r="D21" s="1129"/>
      <c r="E21" s="1129"/>
      <c r="F21" s="1129"/>
      <c r="G21" s="1129"/>
      <c r="H21" s="1129"/>
      <c r="I21" s="1129"/>
      <c r="J21" s="1129"/>
      <c r="K21" s="1129"/>
      <c r="L21" s="1129"/>
      <c r="M21" s="1129"/>
      <c r="N21" s="1129"/>
      <c r="O21" s="1129"/>
      <c r="P21" s="1129"/>
      <c r="Q21" s="1129"/>
      <c r="R21" s="1129"/>
      <c r="S21" s="1129"/>
      <c r="T21" s="1129"/>
      <c r="U21" s="1129"/>
      <c r="V21" s="1129"/>
      <c r="W21" s="1129"/>
      <c r="X21" s="1129"/>
      <c r="Y21" s="1129"/>
      <c r="Z21" s="1129"/>
      <c r="AA21" s="1129"/>
      <c r="AB21" s="1129"/>
      <c r="AC21" s="1129"/>
      <c r="AD21" s="1129"/>
      <c r="AE21" s="1129"/>
      <c r="AF21" s="1129"/>
      <c r="AG21" s="1129"/>
      <c r="AH21" s="1129"/>
      <c r="AI21" s="1129"/>
      <c r="AJ21" s="1129"/>
      <c r="AK21" s="1129"/>
      <c r="AL21" s="1129"/>
      <c r="AM21" s="1129"/>
      <c r="AN21" s="1129"/>
      <c r="AO21" s="1129"/>
      <c r="AP21" s="1129"/>
      <c r="AQ21" s="1129"/>
      <c r="AR21" s="1129"/>
      <c r="AS21" s="1129"/>
      <c r="AT21" s="1129"/>
      <c r="AU21" s="1129"/>
      <c r="AV21" s="1129"/>
      <c r="AW21" s="1129"/>
      <c r="AX21" s="1129"/>
      <c r="AY21" s="1129"/>
      <c r="AZ21" s="1129"/>
      <c r="BA21" s="1129"/>
      <c r="BB21" s="1129"/>
    </row>
    <row r="22" ht="15.75" customHeight="1">
      <c r="A22" t="s" s="1084">
        <v>1066</v>
      </c>
      <c r="B22" s="1130"/>
      <c r="C22" s="1131">
        <f>C13+C20</f>
        <v>0</v>
      </c>
      <c r="D22" s="1131">
        <f>D13+D20</f>
        <v>0</v>
      </c>
      <c r="E22" s="1131">
        <f>E13+E20</f>
        <v>27308.333333333336</v>
      </c>
      <c r="F22" s="1131">
        <f>F13+F20</f>
        <v>33752.6</v>
      </c>
      <c r="G22" s="1131">
        <f>G13+G20</f>
        <v>34763.768</v>
      </c>
      <c r="H22" s="1131">
        <f>H13+H20</f>
        <v>33860.43504</v>
      </c>
      <c r="I22" s="1131">
        <f>I13+I20</f>
        <v>34933.9721712</v>
      </c>
      <c r="J22" s="1131">
        <f>J13+J20</f>
        <v>36040.375416336</v>
      </c>
      <c r="K22" s="1131">
        <f>K13+K20</f>
        <v>36813.910258826079</v>
      </c>
      <c r="L22" s="1131">
        <f>L13+L20</f>
        <v>37987.578661590866</v>
      </c>
      <c r="M22" s="1131">
        <f>M13+M20</f>
        <v>39196.717116438595</v>
      </c>
      <c r="N22" s="1131">
        <f>N13+N20</f>
        <v>39955.065724931752</v>
      </c>
      <c r="O22" s="1131">
        <f>O13+O20</f>
        <v>41238.0048116797</v>
      </c>
      <c r="P22" s="1131">
        <f>P13+P20</f>
        <v>42558.352071030095</v>
      </c>
      <c r="Q22" s="1131">
        <f>Q13+Q20</f>
        <v>43310.332248160994</v>
      </c>
      <c r="R22" s="1131">
        <f>R13+R20</f>
        <v>44711.714355605829</v>
      </c>
      <c r="S22" s="1131">
        <f>S13+S20</f>
        <v>46154.807926274007</v>
      </c>
      <c r="T22" s="1131">
        <f>T13+T20</f>
        <v>47034.966804062227</v>
      </c>
      <c r="U22" s="1131">
        <f>U13+U20</f>
        <v>48566.0929731841</v>
      </c>
      <c r="V22" s="1131">
        <f>V13+V20</f>
        <v>50143.632927379622</v>
      </c>
      <c r="W22" s="1131">
        <f>W13+W20</f>
        <v>50916.814580201011</v>
      </c>
      <c r="X22" s="1131">
        <f>X13+X20</f>
        <v>52591.219217607038</v>
      </c>
      <c r="Y22" s="1131">
        <f>Y13+Y20</f>
        <v>54314.175994135250</v>
      </c>
      <c r="Z22" s="1131">
        <f>Z13+Z20</f>
        <v>55117.4334739593</v>
      </c>
      <c r="AA22" s="1131">
        <f>AA13+AA20</f>
        <v>56946.998718178089</v>
      </c>
      <c r="AB22" s="1131">
        <f>AB13+AB20</f>
        <v>58829.730919723428</v>
      </c>
      <c r="AC22" s="1131">
        <f>AC13+AC20</f>
        <v>59674.913587315132</v>
      </c>
      <c r="AD22" s="1131">
        <f>AD13+AD20</f>
        <v>61673.994279934581</v>
      </c>
      <c r="AE22" s="1131">
        <f>AE13+AE20</f>
        <v>63732.377393332623</v>
      </c>
      <c r="AF22" s="1131">
        <f>AF13+AF20</f>
        <v>64393.6300001326</v>
      </c>
      <c r="AG22" s="1131">
        <f>AG13+AG20</f>
        <v>66578.190245136590</v>
      </c>
      <c r="AH22" s="1131">
        <f>AH13+AH20</f>
        <v>68704.1237974907</v>
      </c>
      <c r="AI22" s="1131">
        <f>AI13+AI20</f>
        <v>60054.412861415418</v>
      </c>
      <c r="AJ22" s="1131">
        <f>AJ13+AJ20</f>
        <v>61855.775247257880</v>
      </c>
      <c r="AK22" s="1131">
        <f>AK13+AK20</f>
        <v>63711.938504675614</v>
      </c>
      <c r="AL22" s="1131">
        <f>AL13+AL20</f>
        <v>65622.966659815880</v>
      </c>
      <c r="AM22" s="1131">
        <f>AM13+AM20</f>
        <v>67590.985659610349</v>
      </c>
      <c r="AN22" s="1131">
        <f>AN13+AN20</f>
        <v>69618.185229398674</v>
      </c>
      <c r="AO22" s="1131">
        <f>AO13+AO20</f>
        <v>71706.820786280630</v>
      </c>
      <c r="AP22" s="1131">
        <f>AP13+AP20</f>
        <v>73857.215409869052</v>
      </c>
      <c r="AQ22" s="1131">
        <f>AQ13+AQ20</f>
        <v>76073.761872165123</v>
      </c>
      <c r="AR22" s="1131">
        <f>AR13+AR20</f>
        <v>78355.924728330079</v>
      </c>
      <c r="AS22" s="1131">
        <f>AS13+AS20</f>
        <v>80706.242470179975</v>
      </c>
      <c r="AT22" s="1131">
        <f>AT13+AT20</f>
        <v>83126.329744285395</v>
      </c>
      <c r="AU22" s="1131">
        <f>AU13+AU20</f>
        <v>85620.879636613943</v>
      </c>
      <c r="AV22" s="1131">
        <f>AV13+AV20</f>
        <v>88189.666025712373</v>
      </c>
      <c r="AW22" s="1131">
        <f>AW13+AW20</f>
        <v>90834.546006483739</v>
      </c>
      <c r="AX22" s="1131">
        <f>AX13+AX20</f>
        <v>93559.462386678264</v>
      </c>
      <c r="AY22" s="1131">
        <f>AY13+AY20</f>
        <v>96365.446258278607</v>
      </c>
      <c r="AZ22" s="1131">
        <f>AZ13+AZ20</f>
        <v>99256.619646026957</v>
      </c>
      <c r="BA22" s="1131">
        <f>BA13+BA20</f>
        <v>102235.1982354078</v>
      </c>
      <c r="BB22" s="1131">
        <f>BB13+BB20</f>
        <v>105302.49418247</v>
      </c>
    </row>
    <row r="23" ht="16" customHeight="1">
      <c r="A23" s="1012"/>
      <c r="B23" s="1012"/>
      <c r="C23" s="1019"/>
      <c r="D23" s="1019"/>
      <c r="E23" s="1019"/>
      <c r="F23" s="1019"/>
      <c r="G23" s="1019"/>
      <c r="H23" s="1019"/>
      <c r="I23" s="1019"/>
      <c r="J23" s="1019"/>
      <c r="K23" s="1019"/>
      <c r="L23" s="1019"/>
      <c r="M23" s="1019"/>
      <c r="N23" s="1019"/>
      <c r="O23" s="1019"/>
      <c r="P23" s="1019"/>
      <c r="Q23" s="1019"/>
      <c r="R23" s="1019"/>
      <c r="S23" s="1019"/>
      <c r="T23" s="1019"/>
      <c r="U23" s="1019"/>
      <c r="V23" s="1019"/>
      <c r="W23" s="1019"/>
      <c r="X23" s="1019"/>
      <c r="Y23" s="1019"/>
      <c r="Z23" s="1019"/>
      <c r="AA23" s="1019"/>
      <c r="AB23" s="1019"/>
      <c r="AC23" s="1019"/>
      <c r="AD23" s="1019"/>
      <c r="AE23" s="1019"/>
      <c r="AF23" s="1019"/>
      <c r="AG23" s="1019"/>
      <c r="AH23" s="1019"/>
      <c r="AI23" s="1019"/>
      <c r="AJ23" s="1019"/>
      <c r="AK23" s="1019"/>
      <c r="AL23" s="1019"/>
      <c r="AM23" s="1019"/>
      <c r="AN23" s="1019"/>
      <c r="AO23" s="1019"/>
      <c r="AP23" s="1019"/>
      <c r="AQ23" s="1019"/>
      <c r="AR23" s="1019"/>
      <c r="AS23" s="1019"/>
      <c r="AT23" s="1019"/>
      <c r="AU23" s="1019"/>
      <c r="AV23" s="1019"/>
      <c r="AW23" s="1019"/>
      <c r="AX23" s="1019"/>
      <c r="AY23" s="1019"/>
      <c r="AZ23" s="1019"/>
      <c r="BA23" s="1019"/>
      <c r="BB23" s="1019"/>
    </row>
    <row r="24" ht="16.5" customHeight="1">
      <c r="A24" t="s" s="1030">
        <v>1067</v>
      </c>
      <c r="B24" s="1012"/>
      <c r="C24" s="1132"/>
      <c r="D24" s="1132"/>
      <c r="E24" s="1132"/>
      <c r="F24" s="1132"/>
      <c r="G24" s="1132"/>
      <c r="H24" s="1132"/>
      <c r="I24" s="1132"/>
      <c r="J24" s="1132"/>
      <c r="K24" s="1132"/>
      <c r="L24" s="1132"/>
      <c r="M24" s="1132"/>
      <c r="N24" s="1132"/>
      <c r="O24" s="1132"/>
      <c r="P24" s="1132"/>
      <c r="Q24" s="1132"/>
      <c r="R24" s="1132"/>
      <c r="S24" s="1132"/>
      <c r="T24" s="1132"/>
      <c r="U24" s="1132"/>
      <c r="V24" s="1132"/>
      <c r="W24" s="1132"/>
      <c r="X24" s="1132"/>
      <c r="Y24" s="1132"/>
      <c r="Z24" s="1132"/>
      <c r="AA24" s="1132"/>
      <c r="AB24" s="1132"/>
      <c r="AC24" s="1132"/>
      <c r="AD24" s="1132"/>
      <c r="AE24" s="1132"/>
      <c r="AF24" s="1132"/>
      <c r="AG24" s="1132"/>
      <c r="AH24" s="1132"/>
      <c r="AI24" s="1132"/>
      <c r="AJ24" s="1132"/>
      <c r="AK24" s="1132"/>
      <c r="AL24" s="1132"/>
      <c r="AM24" s="1132"/>
      <c r="AN24" s="1132"/>
      <c r="AO24" s="1132"/>
      <c r="AP24" s="1132"/>
      <c r="AQ24" s="1132"/>
      <c r="AR24" s="1132"/>
      <c r="AS24" s="1132"/>
      <c r="AT24" s="1132"/>
      <c r="AU24" s="1132"/>
      <c r="AV24" s="1132"/>
      <c r="AW24" s="1132"/>
      <c r="AX24" s="1132"/>
      <c r="AY24" s="1132"/>
      <c r="AZ24" s="1132"/>
      <c r="BA24" s="1132"/>
      <c r="BB24" s="1132"/>
    </row>
    <row r="25" ht="17" customHeight="1">
      <c r="A25" t="s" s="1018">
        <v>1068</v>
      </c>
      <c r="B25" s="1012"/>
      <c r="C25" s="1133">
        <f>'Cash Flow'!C20</f>
        <v>0</v>
      </c>
      <c r="D25" s="1133">
        <f>'Cash Flow'!D20</f>
        <v>0</v>
      </c>
      <c r="E25" s="1133">
        <f>'Cash Flow'!E20</f>
        <v>0</v>
      </c>
      <c r="F25" s="1133">
        <f>'Cash Flow'!F20</f>
        <v>0</v>
      </c>
      <c r="G25" s="1133"/>
      <c r="H25" s="1133"/>
      <c r="I25" s="1133"/>
      <c r="J25" s="1133"/>
      <c r="K25" s="1133"/>
      <c r="L25" s="1133"/>
      <c r="M25" s="1133"/>
      <c r="N25" s="1133"/>
      <c r="O25" s="1133"/>
      <c r="P25" s="1133"/>
      <c r="Q25" s="1133"/>
      <c r="R25" s="1133"/>
      <c r="S25" s="1133"/>
      <c r="T25" s="1133"/>
      <c r="U25" s="1133"/>
      <c r="V25" s="1133"/>
      <c r="W25" s="1133"/>
      <c r="X25" s="1133"/>
      <c r="Y25" s="1133"/>
      <c r="Z25" s="1133"/>
      <c r="AA25" s="1133"/>
      <c r="AB25" s="1133"/>
      <c r="AC25" s="1133"/>
      <c r="AD25" s="1133"/>
      <c r="AE25" s="1133"/>
      <c r="AF25" s="1133"/>
      <c r="AG25" s="1133"/>
      <c r="AH25" s="1133"/>
      <c r="AI25" s="1133"/>
      <c r="AJ25" s="1133"/>
      <c r="AK25" s="1133"/>
      <c r="AL25" s="1133"/>
      <c r="AM25" s="1133"/>
      <c r="AN25" s="1133"/>
      <c r="AO25" s="1133"/>
      <c r="AP25" s="1133"/>
      <c r="AQ25" s="1133"/>
      <c r="AR25" s="1133"/>
      <c r="AS25" s="1133"/>
      <c r="AT25" s="1133"/>
      <c r="AU25" s="1133"/>
      <c r="AV25" s="1133"/>
      <c r="AW25" s="1133"/>
      <c r="AX25" s="1133"/>
      <c r="AY25" s="1133"/>
      <c r="AZ25" s="1133"/>
      <c r="BA25" s="1133"/>
      <c r="BB25" s="1133"/>
    </row>
    <row r="26" ht="16.5" customHeight="1">
      <c r="A26" t="s" s="1018">
        <v>1069</v>
      </c>
      <c r="B26" s="1012"/>
      <c r="C26" s="1134">
        <f>IF((C25+D25+F25+E25)=0,0,(C25/(C25+D25+F25+E25)*'Shared Ownership'!$AC$21))</f>
        <v>0</v>
      </c>
      <c r="D26" s="1134">
        <f>IF((D25+E25+C25+F25)=0,0,(D25/(D25+E25+C25+F25)*'Shared Ownership'!$AC$21))</f>
        <v>0</v>
      </c>
      <c r="E26" s="1134">
        <f>IF((E25+F25+D25+C25)=0,0,(E25/(E25+F25+D25+C25)*'Shared Ownership'!$AC$21))</f>
        <v>0</v>
      </c>
      <c r="F26" s="1134">
        <f>IF((F25+E25+C25+D25)=0,0,(F25/(F25+E25+C25+D25)*'Shared Ownership'!$AC$21))</f>
        <v>0</v>
      </c>
      <c r="G26" s="1135"/>
      <c r="H26" s="1135"/>
      <c r="I26" s="1135"/>
      <c r="J26" s="1135"/>
      <c r="K26" s="1135"/>
      <c r="L26" s="1135"/>
      <c r="M26" s="1135"/>
      <c r="N26" s="1135"/>
      <c r="O26" s="1135"/>
      <c r="P26" s="1135"/>
      <c r="Q26" s="1135"/>
      <c r="R26" s="1135"/>
      <c r="S26" s="1135"/>
      <c r="T26" s="1135"/>
      <c r="U26" s="1135"/>
      <c r="V26" s="1135"/>
      <c r="W26" s="1135"/>
      <c r="X26" s="1135"/>
      <c r="Y26" s="1135"/>
      <c r="Z26" s="1135"/>
      <c r="AA26" s="1135"/>
      <c r="AB26" s="1135"/>
      <c r="AC26" s="1135"/>
      <c r="AD26" s="1135"/>
      <c r="AE26" s="1135"/>
      <c r="AF26" s="1135"/>
      <c r="AG26" s="1135"/>
      <c r="AH26" s="1135"/>
      <c r="AI26" s="1135"/>
      <c r="AJ26" s="1135"/>
      <c r="AK26" s="1135"/>
      <c r="AL26" s="1135"/>
      <c r="AM26" s="1135"/>
      <c r="AN26" s="1135"/>
      <c r="AO26" s="1135"/>
      <c r="AP26" s="1135"/>
      <c r="AQ26" s="1135"/>
      <c r="AR26" s="1135"/>
      <c r="AS26" s="1135"/>
      <c r="AT26" s="1135"/>
      <c r="AU26" s="1135"/>
      <c r="AV26" s="1135"/>
      <c r="AW26" s="1135"/>
      <c r="AX26" s="1135"/>
      <c r="AY26" s="1135"/>
      <c r="AZ26" s="1135"/>
      <c r="BA26" s="1135"/>
      <c r="BB26" s="1135"/>
    </row>
    <row r="27" ht="16" customHeight="1">
      <c r="A27" s="1012"/>
      <c r="B27" s="1012"/>
      <c r="C27" s="1019"/>
      <c r="D27" s="1019"/>
      <c r="E27" s="1019"/>
      <c r="F27" s="1019"/>
      <c r="G27" s="1019"/>
      <c r="H27" s="1019"/>
      <c r="I27" s="1019"/>
      <c r="J27" s="1019"/>
      <c r="K27" s="1019"/>
      <c r="L27" s="1019"/>
      <c r="M27" s="1019"/>
      <c r="N27" s="1019"/>
      <c r="O27" s="1019"/>
      <c r="P27" s="1019"/>
      <c r="Q27" s="1019"/>
      <c r="R27" s="1019"/>
      <c r="S27" s="1019"/>
      <c r="T27" s="1019"/>
      <c r="U27" s="1019"/>
      <c r="V27" s="1019"/>
      <c r="W27" s="1019"/>
      <c r="X27" s="1019"/>
      <c r="Y27" s="1019"/>
      <c r="Z27" s="1019"/>
      <c r="AA27" s="1019"/>
      <c r="AB27" s="1019"/>
      <c r="AC27" s="1019"/>
      <c r="AD27" s="1019"/>
      <c r="AE27" s="1019"/>
      <c r="AF27" s="1019"/>
      <c r="AG27" s="1019"/>
      <c r="AH27" s="1019"/>
      <c r="AI27" s="1019"/>
      <c r="AJ27" s="1019"/>
      <c r="AK27" s="1019"/>
      <c r="AL27" s="1019"/>
      <c r="AM27" s="1019"/>
      <c r="AN27" s="1019"/>
      <c r="AO27" s="1019"/>
      <c r="AP27" s="1019"/>
      <c r="AQ27" s="1019"/>
      <c r="AR27" s="1019"/>
      <c r="AS27" s="1019"/>
      <c r="AT27" s="1019"/>
      <c r="AU27" s="1019"/>
      <c r="AV27" s="1019"/>
      <c r="AW27" s="1019"/>
      <c r="AX27" s="1019"/>
      <c r="AY27" s="1019"/>
      <c r="AZ27" s="1019"/>
      <c r="BA27" s="1019"/>
      <c r="BB27" s="1019"/>
    </row>
    <row r="28" ht="16.5" customHeight="1">
      <c r="A28" t="s" s="1030">
        <v>1070</v>
      </c>
      <c r="B28" s="1012"/>
      <c r="C28" s="1132"/>
      <c r="D28" s="1132"/>
      <c r="E28" s="1132"/>
      <c r="F28" s="1132"/>
      <c r="G28" s="1132"/>
      <c r="H28" s="1132"/>
      <c r="I28" s="1132"/>
      <c r="J28" s="1132"/>
      <c r="K28" s="1132"/>
      <c r="L28" s="1132"/>
      <c r="M28" s="1132"/>
      <c r="N28" s="1132"/>
      <c r="O28" s="1132"/>
      <c r="P28" s="1132"/>
      <c r="Q28" s="1132"/>
      <c r="R28" s="1132"/>
      <c r="S28" s="1132"/>
      <c r="T28" s="1132"/>
      <c r="U28" s="1132"/>
      <c r="V28" s="1132"/>
      <c r="W28" s="1132"/>
      <c r="X28" s="1132"/>
      <c r="Y28" s="1132"/>
      <c r="Z28" s="1132"/>
      <c r="AA28" s="1132"/>
      <c r="AB28" s="1132"/>
      <c r="AC28" s="1132"/>
      <c r="AD28" s="1132"/>
      <c r="AE28" s="1132"/>
      <c r="AF28" s="1132"/>
      <c r="AG28" s="1132"/>
      <c r="AH28" s="1132"/>
      <c r="AI28" s="1132"/>
      <c r="AJ28" s="1132"/>
      <c r="AK28" s="1132"/>
      <c r="AL28" s="1132"/>
      <c r="AM28" s="1132"/>
      <c r="AN28" s="1132"/>
      <c r="AO28" s="1132"/>
      <c r="AP28" s="1132"/>
      <c r="AQ28" s="1132"/>
      <c r="AR28" s="1132"/>
      <c r="AS28" s="1132"/>
      <c r="AT28" s="1132"/>
      <c r="AU28" s="1132"/>
      <c r="AV28" s="1132"/>
      <c r="AW28" s="1132"/>
      <c r="AX28" s="1132"/>
      <c r="AY28" s="1132"/>
      <c r="AZ28" s="1132"/>
      <c r="BA28" s="1132"/>
      <c r="BB28" s="1132"/>
    </row>
    <row r="29" ht="17" customHeight="1">
      <c r="A29" t="s" s="1018">
        <v>1068</v>
      </c>
      <c r="B29" s="1012"/>
      <c r="C29" s="1133">
        <f>'Cash Flow'!C21</f>
        <v>0</v>
      </c>
      <c r="D29" s="1133">
        <f>'Cash Flow'!D21</f>
        <v>0</v>
      </c>
      <c r="E29" s="1133">
        <f>'Cash Flow'!E21</f>
        <v>0</v>
      </c>
      <c r="F29" s="1133">
        <f>'Cash Flow'!F21</f>
        <v>0</v>
      </c>
      <c r="G29" s="1133"/>
      <c r="H29" s="1133"/>
      <c r="I29" s="1133"/>
      <c r="J29" s="1133"/>
      <c r="K29" s="1133"/>
      <c r="L29" s="1133"/>
      <c r="M29" s="1133"/>
      <c r="N29" s="1133"/>
      <c r="O29" s="1133"/>
      <c r="P29" s="1133"/>
      <c r="Q29" s="1133"/>
      <c r="R29" s="1133"/>
      <c r="S29" s="1133"/>
      <c r="T29" s="1133"/>
      <c r="U29" s="1133"/>
      <c r="V29" s="1133"/>
      <c r="W29" s="1133"/>
      <c r="X29" s="1133"/>
      <c r="Y29" s="1133"/>
      <c r="Z29" s="1133"/>
      <c r="AA29" s="1133"/>
      <c r="AB29" s="1133"/>
      <c r="AC29" s="1133"/>
      <c r="AD29" s="1133"/>
      <c r="AE29" s="1133"/>
      <c r="AF29" s="1133"/>
      <c r="AG29" s="1133"/>
      <c r="AH29" s="1133"/>
      <c r="AI29" s="1133"/>
      <c r="AJ29" s="1133"/>
      <c r="AK29" s="1133"/>
      <c r="AL29" s="1133"/>
      <c r="AM29" s="1133"/>
      <c r="AN29" s="1133"/>
      <c r="AO29" s="1133"/>
      <c r="AP29" s="1133"/>
      <c r="AQ29" s="1133"/>
      <c r="AR29" s="1133"/>
      <c r="AS29" s="1133"/>
      <c r="AT29" s="1133"/>
      <c r="AU29" s="1133"/>
      <c r="AV29" s="1133"/>
      <c r="AW29" s="1133"/>
      <c r="AX29" s="1133"/>
      <c r="AY29" s="1133"/>
      <c r="AZ29" s="1133"/>
      <c r="BA29" s="1133"/>
      <c r="BB29" s="1133"/>
    </row>
    <row r="30" ht="16.5" customHeight="1">
      <c r="A30" t="s" s="1018">
        <v>1069</v>
      </c>
      <c r="B30" s="1012"/>
      <c r="C30" s="1134">
        <f>IF((C29+D29+E29+F29)=0,0,(C29/(C29+D29+E29+F29)*'Limited Equity'!$S$21))</f>
        <v>0</v>
      </c>
      <c r="D30" s="1134">
        <f>IF((D29+E29+F29+C29)=0,0,(D29/(D29+E29+F29+C29)*'Limited Equity'!$S$21))</f>
        <v>0</v>
      </c>
      <c r="E30" s="1134">
        <f>IF((E29+F29+C29+D29)=0,0,(E29/(E29+F29+C29+D29)*'Limited Equity'!$S$21))</f>
        <v>0</v>
      </c>
      <c r="F30" s="1134">
        <f>IF((F29+C29+D29+E29)=0,0,(F29/(F29+C29+D29+E29)*'Limited Equity'!$S$21))</f>
        <v>0</v>
      </c>
      <c r="G30" s="1135"/>
      <c r="H30" s="1135"/>
      <c r="I30" s="1135"/>
      <c r="J30" s="1135"/>
      <c r="K30" s="1135"/>
      <c r="L30" s="1135"/>
      <c r="M30" s="1135"/>
      <c r="N30" s="1135"/>
      <c r="O30" s="1135"/>
      <c r="P30" s="1135"/>
      <c r="Q30" s="1135"/>
      <c r="R30" s="1135"/>
      <c r="S30" s="1135"/>
      <c r="T30" s="1135"/>
      <c r="U30" s="1135"/>
      <c r="V30" s="1135"/>
      <c r="W30" s="1135"/>
      <c r="X30" s="1135"/>
      <c r="Y30" s="1135"/>
      <c r="Z30" s="1135"/>
      <c r="AA30" s="1135"/>
      <c r="AB30" s="1135"/>
      <c r="AC30" s="1135"/>
      <c r="AD30" s="1135"/>
      <c r="AE30" s="1135"/>
      <c r="AF30" s="1135"/>
      <c r="AG30" s="1135"/>
      <c r="AH30" s="1135"/>
      <c r="AI30" s="1135"/>
      <c r="AJ30" s="1135"/>
      <c r="AK30" s="1135"/>
      <c r="AL30" s="1135"/>
      <c r="AM30" s="1135"/>
      <c r="AN30" s="1135"/>
      <c r="AO30" s="1135"/>
      <c r="AP30" s="1135"/>
      <c r="AQ30" s="1135"/>
      <c r="AR30" s="1135"/>
      <c r="AS30" s="1135"/>
      <c r="AT30" s="1135"/>
      <c r="AU30" s="1135"/>
      <c r="AV30" s="1135"/>
      <c r="AW30" s="1135"/>
      <c r="AX30" s="1135"/>
      <c r="AY30" s="1135"/>
      <c r="AZ30" s="1135"/>
      <c r="BA30" s="1135"/>
      <c r="BB30" s="1135"/>
    </row>
    <row r="31" ht="16" customHeight="1">
      <c r="A31" s="1012"/>
      <c r="B31" s="1012"/>
      <c r="C31" s="1019"/>
      <c r="D31" s="1019"/>
      <c r="E31" s="1019"/>
      <c r="F31" s="1019"/>
      <c r="G31" s="1019"/>
      <c r="H31" s="1019"/>
      <c r="I31" s="1019"/>
      <c r="J31" s="1019"/>
      <c r="K31" s="1019"/>
      <c r="L31" s="1019"/>
      <c r="M31" s="1019"/>
      <c r="N31" s="1019"/>
      <c r="O31" s="1019"/>
      <c r="P31" s="1019"/>
      <c r="Q31" s="1019"/>
      <c r="R31" s="1019"/>
      <c r="S31" s="1019"/>
      <c r="T31" s="1019"/>
      <c r="U31" s="1019"/>
      <c r="V31" s="1019"/>
      <c r="W31" s="1019"/>
      <c r="X31" s="1019"/>
      <c r="Y31" s="1019"/>
      <c r="Z31" s="1019"/>
      <c r="AA31" s="1019"/>
      <c r="AB31" s="1019"/>
      <c r="AC31" s="1019"/>
      <c r="AD31" s="1019"/>
      <c r="AE31" s="1019"/>
      <c r="AF31" s="1019"/>
      <c r="AG31" s="1019"/>
      <c r="AH31" s="1019"/>
      <c r="AI31" s="1019"/>
      <c r="AJ31" s="1019"/>
      <c r="AK31" s="1019"/>
      <c r="AL31" s="1019"/>
      <c r="AM31" s="1019"/>
      <c r="AN31" s="1019"/>
      <c r="AO31" s="1019"/>
      <c r="AP31" s="1019"/>
      <c r="AQ31" s="1019"/>
      <c r="AR31" s="1019"/>
      <c r="AS31" s="1019"/>
      <c r="AT31" s="1019"/>
      <c r="AU31" s="1019"/>
      <c r="AV31" s="1019"/>
      <c r="AW31" s="1019"/>
      <c r="AX31" s="1019"/>
      <c r="AY31" s="1019"/>
      <c r="AZ31" s="1019"/>
      <c r="BA31" s="1019"/>
      <c r="BB31" s="1019"/>
    </row>
    <row r="32" ht="16.5" customHeight="1">
      <c r="A32" t="s" s="1030">
        <v>1071</v>
      </c>
      <c r="B32" s="1012"/>
      <c r="C32" s="1132"/>
      <c r="D32" s="1132"/>
      <c r="E32" s="1132"/>
      <c r="F32" s="1132"/>
      <c r="G32" s="1132"/>
      <c r="H32" s="1132"/>
      <c r="I32" s="1132"/>
      <c r="J32" s="1132"/>
      <c r="K32" s="1132"/>
      <c r="L32" s="1132"/>
      <c r="M32" s="1132"/>
      <c r="N32" s="1132"/>
      <c r="O32" s="1132"/>
      <c r="P32" s="1132"/>
      <c r="Q32" s="1132"/>
      <c r="R32" s="1132"/>
      <c r="S32" s="1132"/>
      <c r="T32" s="1132"/>
      <c r="U32" s="1132"/>
      <c r="V32" s="1132"/>
      <c r="W32" s="1132"/>
      <c r="X32" s="1132"/>
      <c r="Y32" s="1132"/>
      <c r="Z32" s="1132"/>
      <c r="AA32" s="1132"/>
      <c r="AB32" s="1132"/>
      <c r="AC32" s="1132"/>
      <c r="AD32" s="1132"/>
      <c r="AE32" s="1132"/>
      <c r="AF32" s="1132"/>
      <c r="AG32" s="1132"/>
      <c r="AH32" s="1132"/>
      <c r="AI32" s="1132"/>
      <c r="AJ32" s="1132"/>
      <c r="AK32" s="1132"/>
      <c r="AL32" s="1132"/>
      <c r="AM32" s="1132"/>
      <c r="AN32" s="1132"/>
      <c r="AO32" s="1132"/>
      <c r="AP32" s="1132"/>
      <c r="AQ32" s="1132"/>
      <c r="AR32" s="1132"/>
      <c r="AS32" s="1132"/>
      <c r="AT32" s="1132"/>
      <c r="AU32" s="1132"/>
      <c r="AV32" s="1132"/>
      <c r="AW32" s="1132"/>
      <c r="AX32" s="1132"/>
      <c r="AY32" s="1132"/>
      <c r="AZ32" s="1132"/>
      <c r="BA32" s="1132"/>
      <c r="BB32" s="1132"/>
    </row>
    <row r="33" ht="17" customHeight="1">
      <c r="A33" t="s" s="1018">
        <v>1068</v>
      </c>
      <c r="B33" s="1012"/>
      <c r="C33" s="1133">
        <f>'Cash Flow'!C22</f>
        <v>0</v>
      </c>
      <c r="D33" s="1133">
        <f>'Cash Flow'!D22</f>
        <v>0</v>
      </c>
      <c r="E33" s="1133">
        <f>'Cash Flow'!E22</f>
        <v>790000</v>
      </c>
      <c r="F33" s="1133">
        <f>'Cash Flow'!F22</f>
        <v>0</v>
      </c>
      <c r="G33" s="1133"/>
      <c r="H33" s="1133"/>
      <c r="I33" s="1133"/>
      <c r="J33" s="1133"/>
      <c r="K33" s="1133"/>
      <c r="L33" s="1133"/>
      <c r="M33" s="1133"/>
      <c r="N33" s="1133"/>
      <c r="O33" s="1133"/>
      <c r="P33" s="1133"/>
      <c r="Q33" s="1133"/>
      <c r="R33" s="1133"/>
      <c r="S33" s="1133"/>
      <c r="T33" s="1133"/>
      <c r="U33" s="1133"/>
      <c r="V33" s="1133"/>
      <c r="W33" s="1133"/>
      <c r="X33" s="1133"/>
      <c r="Y33" s="1133"/>
      <c r="Z33" s="1133"/>
      <c r="AA33" s="1133"/>
      <c r="AB33" s="1133"/>
      <c r="AC33" s="1133"/>
      <c r="AD33" s="1133"/>
      <c r="AE33" s="1133"/>
      <c r="AF33" s="1133"/>
      <c r="AG33" s="1133"/>
      <c r="AH33" s="1133"/>
      <c r="AI33" s="1133"/>
      <c r="AJ33" s="1133"/>
      <c r="AK33" s="1133"/>
      <c r="AL33" s="1133"/>
      <c r="AM33" s="1133"/>
      <c r="AN33" s="1133"/>
      <c r="AO33" s="1133"/>
      <c r="AP33" s="1133"/>
      <c r="AQ33" s="1133"/>
      <c r="AR33" s="1133"/>
      <c r="AS33" s="1133"/>
      <c r="AT33" s="1133"/>
      <c r="AU33" s="1133"/>
      <c r="AV33" s="1133"/>
      <c r="AW33" s="1133"/>
      <c r="AX33" s="1133"/>
      <c r="AY33" s="1133"/>
      <c r="AZ33" s="1133"/>
      <c r="BA33" s="1133"/>
      <c r="BB33" s="1133"/>
    </row>
    <row r="34" ht="16.5" customHeight="1">
      <c r="A34" t="s" s="1018">
        <v>1069</v>
      </c>
      <c r="B34" s="1012"/>
      <c r="C34" s="1134">
        <f>IF((C33+D33+E33+F33)=0,0,(C33/(C33+D33+E33+F33)*'OutrightSale'!$M$21))</f>
        <v>0</v>
      </c>
      <c r="D34" s="1134">
        <f>IF((D33+E33+F33+C33)=0,0,(D33/(D33+E33+F33+C33)*'OutrightSale'!$M$21))</f>
        <v>0</v>
      </c>
      <c r="E34" s="1134">
        <f>IF((E33+F33+C33+D33)=0,0,(E33/(E33+F33+C33+D33)*'OutrightSale'!$M$21))</f>
        <v>-483890.5920258621</v>
      </c>
      <c r="F34" s="1134">
        <f>IF((F33+C33+D33+E33)=0,0,(F33/(F33+C33+D33+E33)*'OutrightSale'!$M$21))</f>
        <v>0</v>
      </c>
      <c r="G34" s="1135"/>
      <c r="H34" s="1135"/>
      <c r="I34" s="1135"/>
      <c r="J34" s="1135"/>
      <c r="K34" s="1135"/>
      <c r="L34" s="1135"/>
      <c r="M34" s="1135"/>
      <c r="N34" s="1135"/>
      <c r="O34" s="1135"/>
      <c r="P34" s="1135"/>
      <c r="Q34" s="1135"/>
      <c r="R34" s="1135"/>
      <c r="S34" s="1135"/>
      <c r="T34" s="1135"/>
      <c r="U34" s="1135"/>
      <c r="V34" s="1135"/>
      <c r="W34" s="1135"/>
      <c r="X34" s="1135"/>
      <c r="Y34" s="1135"/>
      <c r="Z34" s="1135"/>
      <c r="AA34" s="1135"/>
      <c r="AB34" s="1135"/>
      <c r="AC34" s="1135"/>
      <c r="AD34" s="1135"/>
      <c r="AE34" s="1135"/>
      <c r="AF34" s="1135"/>
      <c r="AG34" s="1135"/>
      <c r="AH34" s="1135"/>
      <c r="AI34" s="1135"/>
      <c r="AJ34" s="1135"/>
      <c r="AK34" s="1135"/>
      <c r="AL34" s="1135"/>
      <c r="AM34" s="1135"/>
      <c r="AN34" s="1135"/>
      <c r="AO34" s="1135"/>
      <c r="AP34" s="1135"/>
      <c r="AQ34" s="1135"/>
      <c r="AR34" s="1135"/>
      <c r="AS34" s="1135"/>
      <c r="AT34" s="1135"/>
      <c r="AU34" s="1135"/>
      <c r="AV34" s="1135"/>
      <c r="AW34" s="1135"/>
      <c r="AX34" s="1135"/>
      <c r="AY34" s="1135"/>
      <c r="AZ34" s="1135"/>
      <c r="BA34" s="1135"/>
      <c r="BB34" s="1135"/>
    </row>
    <row r="35" ht="18" customHeight="1">
      <c r="A35" s="907"/>
      <c r="B35" s="907"/>
      <c r="C35" s="907"/>
      <c r="D35" s="907"/>
      <c r="E35" s="907"/>
      <c r="F35" s="907"/>
      <c r="G35" s="907"/>
      <c r="H35" s="907"/>
      <c r="I35" s="907"/>
      <c r="J35" s="907"/>
      <c r="K35" s="907"/>
      <c r="L35" s="907"/>
      <c r="M35" s="907"/>
      <c r="N35" s="907"/>
      <c r="O35" s="907"/>
      <c r="P35" s="907"/>
      <c r="Q35" s="907"/>
      <c r="R35" s="907"/>
      <c r="S35" s="907"/>
      <c r="T35" s="907"/>
      <c r="U35" s="907"/>
      <c r="V35" s="907"/>
      <c r="W35" s="907"/>
      <c r="X35" s="907"/>
      <c r="Y35" s="907"/>
      <c r="Z35" s="907"/>
      <c r="AA35" s="907"/>
      <c r="AB35" s="907"/>
      <c r="AC35" s="907"/>
      <c r="AD35" s="907"/>
      <c r="AE35" s="907"/>
      <c r="AF35" s="907"/>
      <c r="AG35" s="907"/>
      <c r="AH35" s="907"/>
      <c r="AI35" s="907"/>
      <c r="AJ35" s="907"/>
      <c r="AK35" s="907"/>
      <c r="AL35" s="907"/>
      <c r="AM35" s="907"/>
      <c r="AN35" s="907"/>
      <c r="AO35" s="907"/>
      <c r="AP35" s="907"/>
      <c r="AQ35" s="907"/>
      <c r="AR35" s="907"/>
      <c r="AS35" s="907"/>
      <c r="AT35" s="907"/>
      <c r="AU35" s="907"/>
      <c r="AV35" s="907"/>
      <c r="AW35" s="907"/>
      <c r="AX35" s="907"/>
      <c r="AY35" s="907"/>
      <c r="AZ35" s="907"/>
      <c r="BA35" s="907"/>
      <c r="BB35" s="907"/>
    </row>
    <row r="36" ht="16.5" customHeight="1">
      <c r="A36" s="1007"/>
      <c r="B36" s="1012"/>
      <c r="C36" s="1132"/>
      <c r="D36" s="1132"/>
      <c r="E36" s="1136"/>
      <c r="F36" s="1132"/>
      <c r="G36" s="1132"/>
      <c r="H36" s="1132"/>
      <c r="I36" s="1132"/>
      <c r="J36" s="1132"/>
      <c r="K36" s="1132"/>
      <c r="L36" s="1132"/>
      <c r="M36" s="1132"/>
      <c r="N36" s="1132"/>
      <c r="O36" s="1132"/>
      <c r="P36" s="1132"/>
      <c r="Q36" s="1132"/>
      <c r="R36" s="1132"/>
      <c r="S36" s="1132"/>
      <c r="T36" s="1132"/>
      <c r="U36" s="1132"/>
      <c r="V36" s="1132"/>
      <c r="W36" s="1132"/>
      <c r="X36" s="1132"/>
      <c r="Y36" s="1132"/>
      <c r="Z36" s="1132"/>
      <c r="AA36" s="1132"/>
      <c r="AB36" s="1132"/>
      <c r="AC36" s="1132"/>
      <c r="AD36" s="1132"/>
      <c r="AE36" s="1132"/>
      <c r="AF36" s="1132"/>
      <c r="AG36" s="1132"/>
      <c r="AH36" s="1132"/>
      <c r="AI36" s="1132"/>
      <c r="AJ36" s="1132"/>
      <c r="AK36" s="1132"/>
      <c r="AL36" s="1132"/>
      <c r="AM36" s="1132"/>
      <c r="AN36" s="1132"/>
      <c r="AO36" s="1132"/>
      <c r="AP36" s="1132"/>
      <c r="AQ36" s="1132"/>
      <c r="AR36" s="1132"/>
      <c r="AS36" s="1132"/>
      <c r="AT36" s="1132"/>
      <c r="AU36" s="1132"/>
      <c r="AV36" s="1132"/>
      <c r="AW36" s="1132"/>
      <c r="AX36" s="1132"/>
      <c r="AY36" s="1132"/>
      <c r="AZ36" s="1132"/>
      <c r="BA36" s="1132"/>
      <c r="BB36" s="1132"/>
    </row>
    <row r="37" ht="17" customHeight="1">
      <c r="A37" t="s" s="1018">
        <f>'Cash Flow'!A51</f>
        <v>1024</v>
      </c>
      <c r="B37" s="1007"/>
      <c r="C37" s="1133">
        <f>'Cash Flow'!C51+'Cash Flow'!C44+'Cash Flow'!C48</f>
        <v>0</v>
      </c>
      <c r="D37" s="1133">
        <f>'Cash Flow'!D51+'Cash Flow'!D44+'Cash Flow'!D48</f>
        <v>0</v>
      </c>
      <c r="E37" s="1133">
        <f>'Cash Flow'!E51+'Cash Flow'!E44+'Cash Flow'!E48+'Balance Sheet'!E27-'Balance Sheet'!D27</f>
        <v>-23591.89</v>
      </c>
      <c r="F37" s="1133">
        <f>'Cash Flow'!F51+'Cash Flow'!F44+'Cash Flow'!F48+'Balance Sheet'!F27-'Balance Sheet'!E27</f>
        <v>-23459.73</v>
      </c>
      <c r="G37" s="1133">
        <f>'Cash Flow'!G51+'Cash Flow'!G44+'Cash Flow'!G48+'Balance Sheet'!G27-'Balance Sheet'!F27</f>
        <v>-23321.62</v>
      </c>
      <c r="H37" s="1133">
        <f>'Cash Flow'!H51+'Cash Flow'!H44+'Cash Flow'!H48+'Balance Sheet'!H27-'Balance Sheet'!G27</f>
        <v>-23177.29</v>
      </c>
      <c r="I37" s="1133">
        <f>'Cash Flow'!I51+'Cash Flow'!I44+'Cash Flow'!I48+'Balance Sheet'!I27-'Balance Sheet'!H27</f>
        <v>-23026.47</v>
      </c>
      <c r="J37" s="1133">
        <f>'Cash Flow'!J51+'Cash Flow'!J44+'Cash Flow'!J48+'Balance Sheet'!J27-'Balance Sheet'!I27</f>
        <v>-22868.86</v>
      </c>
      <c r="K37" s="1133">
        <f>'Cash Flow'!K51+'Cash Flow'!K44+'Cash Flow'!K48+'Balance Sheet'!K27-'Balance Sheet'!J27</f>
        <v>-22704.16</v>
      </c>
      <c r="L37" s="1133">
        <f>'Cash Flow'!L51+'Cash Flow'!L44+'Cash Flow'!L48+'Balance Sheet'!L27-'Balance Sheet'!K27</f>
        <v>-22532.04</v>
      </c>
      <c r="M37" s="1133">
        <f>'Cash Flow'!M51+'Cash Flow'!M44+'Cash Flow'!M48+'Balance Sheet'!M27-'Balance Sheet'!L27</f>
        <v>-22352.18</v>
      </c>
      <c r="N37" s="1133">
        <f>'Cash Flow'!N51+'Cash Flow'!N44+'Cash Flow'!N48+'Balance Sheet'!N27-'Balance Sheet'!M27</f>
        <v>-22164.23</v>
      </c>
      <c r="O37" s="1133">
        <f>'Cash Flow'!O51+'Cash Flow'!O44+'Cash Flow'!O48+'Balance Sheet'!O27-'Balance Sheet'!N27</f>
        <v>-21967.82</v>
      </c>
      <c r="P37" s="1133">
        <f>'Cash Flow'!P51+'Cash Flow'!P44+'Cash Flow'!P48+'Balance Sheet'!P27-'Balance Sheet'!O27</f>
        <v>-21762.57</v>
      </c>
      <c r="Q37" s="1133">
        <f>'Cash Flow'!Q51+'Cash Flow'!Q44+'Cash Flow'!Q48+'Balance Sheet'!Q27-'Balance Sheet'!P27</f>
        <v>-21548.09</v>
      </c>
      <c r="R37" s="1133">
        <f>'Cash Flow'!R51+'Cash Flow'!R44+'Cash Flow'!R48+'Balance Sheet'!R27-'Balance Sheet'!Q27</f>
        <v>-21323.95</v>
      </c>
      <c r="S37" s="1133">
        <f>'Cash Flow'!S51+'Cash Flow'!S44+'Cash Flow'!S48+'Balance Sheet'!S27-'Balance Sheet'!R27</f>
        <v>-21089.73</v>
      </c>
      <c r="T37" s="1133">
        <f>'Cash Flow'!T51+'Cash Flow'!T44+'Cash Flow'!T48+'Balance Sheet'!T27-'Balance Sheet'!S27</f>
        <v>-20844.97</v>
      </c>
      <c r="U37" s="1133">
        <f>'Cash Flow'!U51+'Cash Flow'!U44+'Cash Flow'!U48+'Balance Sheet'!U27-'Balance Sheet'!T27</f>
        <v>-20589.19</v>
      </c>
      <c r="V37" s="1133">
        <f>'Cash Flow'!V51+'Cash Flow'!V44+'Cash Flow'!V48+'Balance Sheet'!V27-'Balance Sheet'!U27</f>
        <v>-20321.9</v>
      </c>
      <c r="W37" s="1133">
        <f>'Cash Flow'!W51+'Cash Flow'!W44+'Cash Flow'!W48+'Balance Sheet'!W27-'Balance Sheet'!V27</f>
        <v>-20042.59</v>
      </c>
      <c r="X37" s="1133">
        <f>'Cash Flow'!X51+'Cash Flow'!X44+'Cash Flow'!X48+'Balance Sheet'!X27-'Balance Sheet'!W27</f>
        <v>-19750.7</v>
      </c>
      <c r="Y37" s="1133">
        <f>'Cash Flow'!Y51+'Cash Flow'!Y44+'Cash Flow'!Y48+'Balance Sheet'!Y27-'Balance Sheet'!X27</f>
        <v>-19445.68</v>
      </c>
      <c r="Z37" s="1133">
        <f>'Cash Flow'!Z51+'Cash Flow'!Z44+'Cash Flow'!Z48+'Balance Sheet'!Z27-'Balance Sheet'!Y27</f>
        <v>-19126.94</v>
      </c>
      <c r="AA37" s="1133">
        <f>'Cash Flow'!AA51+'Cash Flow'!AA44+'Cash Flow'!AA48+'Balance Sheet'!AA27-'Balance Sheet'!Z27</f>
        <v>-18793.85</v>
      </c>
      <c r="AB37" s="1133">
        <f>'Cash Flow'!AB51+'Cash Flow'!AB44+'Cash Flow'!AB48+'Balance Sheet'!AB27-'Balance Sheet'!AA27</f>
        <v>-18445.77</v>
      </c>
      <c r="AC37" s="1133">
        <f>'Cash Flow'!AC51+'Cash Flow'!AC44+'Cash Flow'!AC48+'Balance Sheet'!AC27-'Balance Sheet'!AB27</f>
        <v>-18082.03</v>
      </c>
      <c r="AD37" s="1133">
        <f>'Cash Flow'!AD51+'Cash Flow'!AD44+'Cash Flow'!AD48+'Balance Sheet'!AD27-'Balance Sheet'!AC27</f>
        <v>-17701.92</v>
      </c>
      <c r="AE37" s="1133">
        <f>'Cash Flow'!AE51+'Cash Flow'!AE44+'Cash Flow'!AE48+'Balance Sheet'!AE27-'Balance Sheet'!AD27</f>
        <v>-17304.71</v>
      </c>
      <c r="AF37" s="1133">
        <f>'Cash Flow'!AF51+'Cash Flow'!AF44+'Cash Flow'!AF48+'Balance Sheet'!AF27-'Balance Sheet'!AE27</f>
        <v>-16889.62</v>
      </c>
      <c r="AG37" s="1133">
        <f>'Cash Flow'!AG51+'Cash Flow'!AG44+'Cash Flow'!AG48+'Balance Sheet'!AG27-'Balance Sheet'!AF27</f>
        <v>-16455.85</v>
      </c>
      <c r="AH37" s="1133">
        <f>'Cash Flow'!AH51+'Cash Flow'!AH44+'Cash Flow'!AH48+'Balance Sheet'!AH27-'Balance Sheet'!AG27</f>
        <v>-16002.57</v>
      </c>
      <c r="AI37" s="1133">
        <f>'Cash Flow'!AI51+'Cash Flow'!AI44+'Cash Flow'!AI48+'Balance Sheet'!BC27-'Balance Sheet'!AH27</f>
        <v>-15528.88</v>
      </c>
      <c r="AJ37" s="1133">
        <f>'Cash Flow'!AJ51+'Cash Flow'!AJ44+'Cash Flow'!AJ48+'Balance Sheet'!BD27-'Balance Sheet'!BC27</f>
        <v>-15033.88</v>
      </c>
      <c r="AK37" s="1133">
        <f>'Cash Flow'!AK51+'Cash Flow'!AK44+'Cash Flow'!AK48+'Balance Sheet'!BE27-'Balance Sheet'!BD27</f>
        <v>-14516.6</v>
      </c>
      <c r="AL37" s="1133">
        <f>'Cash Flow'!AL51+'Cash Flow'!AL44+'Cash Flow'!AL48+'Balance Sheet'!BF27-'Balance Sheet'!BE27</f>
        <v>-13976.05</v>
      </c>
      <c r="AM37" s="1133">
        <f>'Cash Flow'!AM51+'Cash Flow'!AM44+'Cash Flow'!AM48+'Balance Sheet'!BG27-'Balance Sheet'!BF27</f>
        <v>-13411.17</v>
      </c>
      <c r="AN37" s="1133">
        <f>'Cash Flow'!AN51+'Cash Flow'!AN44+'Cash Flow'!AN48+'Balance Sheet'!BH27-'Balance Sheet'!BG27</f>
        <v>-12820.87</v>
      </c>
      <c r="AO37" s="1133">
        <f>'Cash Flow'!AO51+'Cash Flow'!AO44+'Cash Flow'!AO48+'Balance Sheet'!BI27-'Balance Sheet'!BH27</f>
        <v>-12204.01</v>
      </c>
      <c r="AP37" s="1133">
        <f>'Cash Flow'!AP51+'Cash Flow'!AP44+'Cash Flow'!AP48+'Balance Sheet'!BJ27-'Balance Sheet'!BI27</f>
        <v>-11559.39</v>
      </c>
      <c r="AQ37" s="1133">
        <f>'Cash Flow'!AQ51+'Cash Flow'!AQ44+'Cash Flow'!AQ48+'Balance Sheet'!BK27-'Balance Sheet'!BJ27</f>
        <v>-10885.77</v>
      </c>
      <c r="AR37" s="1133">
        <f>'Cash Flow'!AR51+'Cash Flow'!AR44+'Cash Flow'!AR48+'Balance Sheet'!BL27-'Balance Sheet'!BK27</f>
        <v>-10181.82</v>
      </c>
      <c r="AS37" s="1133">
        <f>'Cash Flow'!AS51+'Cash Flow'!AS44+'Cash Flow'!AS48+'Balance Sheet'!BM27-'Balance Sheet'!BL27</f>
        <v>-9446.209999999999</v>
      </c>
      <c r="AT37" s="1133">
        <f>'Cash Flow'!AT51+'Cash Flow'!AT44+'Cash Flow'!AT48+'Balance Sheet'!BN27-'Balance Sheet'!BM27</f>
        <v>-8677.48</v>
      </c>
      <c r="AU37" s="1133">
        <f>'Cash Flow'!AU51+'Cash Flow'!AU44+'Cash Flow'!AU48+'Balance Sheet'!BO27-'Balance Sheet'!BN27</f>
        <v>-7874.17</v>
      </c>
      <c r="AV37" s="1133">
        <f>'Cash Flow'!AV51+'Cash Flow'!AV44+'Cash Flow'!AV48+'Balance Sheet'!BP27-'Balance Sheet'!BO27</f>
        <v>-7034.71</v>
      </c>
      <c r="AW37" s="1133">
        <f>'Cash Flow'!AW51+'Cash Flow'!AW44+'Cash Flow'!AW48+'Balance Sheet'!BQ27-'Balance Sheet'!BP27</f>
        <v>-6157.47</v>
      </c>
      <c r="AX37" s="1133">
        <f>'Cash Flow'!AX51+'Cash Flow'!AX44+'Cash Flow'!AX48+'Balance Sheet'!BR27-'Balance Sheet'!BQ27</f>
        <v>-5240.76</v>
      </c>
      <c r="AY37" s="1133">
        <f>'Cash Flow'!AY51+'Cash Flow'!AY44+'Cash Flow'!AY48+'Balance Sheet'!BS27-'Balance Sheet'!BR27</f>
        <v>-4282.79</v>
      </c>
      <c r="AZ37" s="1133">
        <f>'Cash Flow'!AZ51+'Cash Flow'!AZ44+'Cash Flow'!AZ48+'Balance Sheet'!BT27-'Balance Sheet'!BS27</f>
        <v>-3281.71</v>
      </c>
      <c r="BA37" s="1133">
        <f>'Cash Flow'!BA51+'Cash Flow'!BA44+'Cash Flow'!BA48+'Balance Sheet'!BU27-'Balance Sheet'!BT27</f>
        <v>-2235.59</v>
      </c>
      <c r="BB37" s="1133">
        <f>'Cash Flow'!BB51+'Cash Flow'!BB44+'Cash Flow'!BB48+'Balance Sheet'!BV27-'Balance Sheet'!BU27</f>
        <v>-1142.39</v>
      </c>
    </row>
    <row r="38" ht="17" customHeight="1">
      <c r="A38" t="s" s="1018">
        <f>'Cash Flow'!A52</f>
        <v>1072</v>
      </c>
      <c r="B38" s="1007"/>
      <c r="C38" s="1133">
        <f>'Cash Flow'!C52</f>
        <v>0</v>
      </c>
      <c r="D38" s="1133">
        <f>'Cash Flow'!D52</f>
        <v>0</v>
      </c>
      <c r="E38" s="1133">
        <f>'Cash Flow'!E52</f>
        <v>3.247638888888893</v>
      </c>
      <c r="F38" s="1133">
        <f>'Cash Flow'!F52</f>
        <v>88.29652986111095</v>
      </c>
      <c r="G38" s="1133">
        <f>'Cash Flow'!G52</f>
        <v>127.3844325104165</v>
      </c>
      <c r="H38" s="1133">
        <f>'Cash Flow'!H52</f>
        <v>166.9373622729685</v>
      </c>
      <c r="I38" s="1133">
        <f>'Cash Flow'!I52</f>
        <v>207.1135671123333</v>
      </c>
      <c r="J38" s="1133">
        <f>'Cash Flow'!J52</f>
        <v>252.940503916735</v>
      </c>
      <c r="K38" s="1133">
        <f>'Cash Flow'!K52</f>
        <v>303.6964206242238</v>
      </c>
      <c r="L38" s="1133">
        <f>'Cash Flow'!L52</f>
        <v>359.5741250283874</v>
      </c>
      <c r="M38" s="1133">
        <f>'Cash Flow'!M52</f>
        <v>421.6882350986029</v>
      </c>
      <c r="N38" s="1133">
        <f>'Cash Flow'!N52</f>
        <v>489.0316333775218</v>
      </c>
      <c r="O38" s="1133">
        <f>'Cash Flow'!O52</f>
        <v>561.8149678859381</v>
      </c>
      <c r="P38" s="1133">
        <f>'Cash Flow'!P52</f>
        <v>641.4704349321423</v>
      </c>
      <c r="Q38" s="1133">
        <f>'Cash Flow'!Q52</f>
        <v>726.7049979047806</v>
      </c>
      <c r="R38" s="1133">
        <f>'Cash Flow'!R52</f>
        <v>817.7491394037216</v>
      </c>
      <c r="S38" s="1133">
        <f>'Cash Flow'!S52</f>
        <v>916.3596908054399</v>
      </c>
      <c r="T38" s="1133">
        <f>'Cash Flow'!T52</f>
        <v>1021.271426085308</v>
      </c>
      <c r="U38" s="1133">
        <f>'Cash Flow'!U52</f>
        <v>1132.735932658850</v>
      </c>
      <c r="V38" s="1133">
        <f>'Cash Flow'!V52</f>
        <v>1252.529427073554</v>
      </c>
      <c r="W38" s="1133">
        <f>'Cash Flow'!W52</f>
        <v>1378.798692977873</v>
      </c>
      <c r="X38" s="1133">
        <f>'Cash Flow'!X52</f>
        <v>1511.818270937282</v>
      </c>
      <c r="Y38" s="1133">
        <f>'Cash Flow'!Y52</f>
        <v>1653.996350321324</v>
      </c>
      <c r="Z38" s="1133">
        <f>'Cash Flow'!Z52</f>
        <v>1803.200855743168</v>
      </c>
      <c r="AA38" s="1133">
        <f>'Cash Flow'!AA52</f>
        <v>1959.733440502227</v>
      </c>
      <c r="AB38" s="1133">
        <f>'Cash Flow'!AB52</f>
        <v>2126.329431799491</v>
      </c>
      <c r="AC38" s="1133">
        <f>'Cash Flow'!AC52</f>
        <v>2300.578190226086</v>
      </c>
      <c r="AD38" s="1133">
        <f>'Cash Flow'!AD52</f>
        <v>2482.808850845340</v>
      </c>
      <c r="AE38" s="1133">
        <f>'Cash Flow'!AE52</f>
        <v>2676.094324282735</v>
      </c>
      <c r="AF38" s="1133">
        <f>'Cash Flow'!AF52</f>
        <v>2877.145314387812</v>
      </c>
      <c r="AG38" s="1133">
        <f>'Cash Flow'!AG52</f>
        <v>3086.316091572924</v>
      </c>
      <c r="AH38" s="1133">
        <f>'Cash Flow'!AH52</f>
        <v>3307.308957137357</v>
      </c>
      <c r="AI38" s="1133">
        <f>'Cash Flow'!AI52</f>
        <v>3513.097343570309</v>
      </c>
      <c r="AJ38" s="1133">
        <f>'Cash Flow'!AJ52</f>
        <v>3702.793800559844</v>
      </c>
      <c r="AK38" s="1133">
        <f>'Cash Flow'!AK52</f>
        <v>3902.582553942477</v>
      </c>
      <c r="AL38" s="1133">
        <f>'Cash Flow'!AL52</f>
        <v>4112.788229623417</v>
      </c>
      <c r="AM38" s="1133">
        <f>'Cash Flow'!AM52</f>
        <v>4333.7425515701</v>
      </c>
      <c r="AN38" s="1133">
        <f>'Cash Flow'!AN52</f>
        <v>4565.789691550473</v>
      </c>
      <c r="AO38" s="1133">
        <f>'Cash Flow'!AO52</f>
        <v>4809.286655047424</v>
      </c>
      <c r="AP38" s="1133">
        <f>'Cash Flow'!AP52</f>
        <v>5064.598678813036</v>
      </c>
      <c r="AQ38" s="1133">
        <f>'Cash Flow'!AQ52</f>
        <v>5332.104615412186</v>
      </c>
      <c r="AR38" s="1133">
        <f>'Cash Flow'!AR52</f>
        <v>5612.194854990485</v>
      </c>
      <c r="AS38" s="1133">
        <f>'Cash Flow'!AS52</f>
        <v>5905.266747261713</v>
      </c>
      <c r="AT38" s="1133">
        <f>'Cash Flow'!AT52</f>
        <v>6211.730011534185</v>
      </c>
      <c r="AU38" s="1133">
        <f>'Cash Flow'!AU52</f>
        <v>6532.012185044104</v>
      </c>
      <c r="AV38" s="1133">
        <f>'Cash Flow'!AV52</f>
        <v>6866.554110125139</v>
      </c>
      <c r="AW38" s="1133">
        <f>'Cash Flow'!AW52</f>
        <v>7215.802910756256</v>
      </c>
      <c r="AX38" s="1133">
        <f>'Cash Flow'!AX52</f>
        <v>7580.222446292942</v>
      </c>
      <c r="AY38" s="1133">
        <f>'Cash Flow'!AY52</f>
        <v>7960.291330136798</v>
      </c>
      <c r="AZ38" s="1133">
        <f>'Cash Flow'!AZ52</f>
        <v>8356.503451548246</v>
      </c>
      <c r="BA38" s="1133">
        <f>'Cash Flow'!BA52</f>
        <v>8769.371013509573</v>
      </c>
      <c r="BB38" s="1133">
        <f>'Cash Flow'!BB52</f>
        <v>9199.417599621816</v>
      </c>
    </row>
    <row r="39" ht="17" customHeight="1">
      <c r="A39" s="1007"/>
      <c r="B39" s="1007"/>
      <c r="C39" s="1129"/>
      <c r="D39" s="1129"/>
      <c r="E39" s="1129"/>
      <c r="F39" s="1129"/>
      <c r="G39" s="1129"/>
      <c r="H39" s="1129"/>
      <c r="I39" s="1129"/>
      <c r="J39" s="1129"/>
      <c r="K39" s="1129"/>
      <c r="L39" s="1129"/>
      <c r="M39" s="1129"/>
      <c r="N39" s="1129"/>
      <c r="O39" s="1129"/>
      <c r="P39" s="1129"/>
      <c r="Q39" s="1129"/>
      <c r="R39" s="1129"/>
      <c r="S39" s="1129"/>
      <c r="T39" s="1129"/>
      <c r="U39" s="1129"/>
      <c r="V39" s="1129"/>
      <c r="W39" s="1129"/>
      <c r="X39" s="1129"/>
      <c r="Y39" s="1129"/>
      <c r="Z39" s="1129"/>
      <c r="AA39" s="1129"/>
      <c r="AB39" s="1129"/>
      <c r="AC39" s="1129"/>
      <c r="AD39" s="1129"/>
      <c r="AE39" s="1129"/>
      <c r="AF39" s="1129"/>
      <c r="AG39" s="1129"/>
      <c r="AH39" s="1129"/>
      <c r="AI39" s="1129"/>
      <c r="AJ39" s="1129"/>
      <c r="AK39" s="1129"/>
      <c r="AL39" s="1129"/>
      <c r="AM39" s="1129"/>
      <c r="AN39" s="1129"/>
      <c r="AO39" s="1129"/>
      <c r="AP39" s="1129"/>
      <c r="AQ39" s="1129"/>
      <c r="AR39" s="1129"/>
      <c r="AS39" s="1129"/>
      <c r="AT39" s="1129"/>
      <c r="AU39" s="1129"/>
      <c r="AV39" s="1129"/>
      <c r="AW39" s="1129"/>
      <c r="AX39" s="1129"/>
      <c r="AY39" s="1129"/>
      <c r="AZ39" s="1129"/>
      <c r="BA39" s="1129"/>
      <c r="BB39" s="1129"/>
    </row>
    <row r="40" ht="15.75" customHeight="1">
      <c r="A40" t="s" s="1084">
        <v>1073</v>
      </c>
      <c r="B40" s="1130"/>
      <c r="C40" s="1025">
        <f>SUM(C22:C39)</f>
        <v>0</v>
      </c>
      <c r="D40" s="1025">
        <f>SUM(D22:D39)</f>
        <v>0</v>
      </c>
      <c r="E40" s="1025">
        <f>SUM(E22:E39)</f>
        <v>309829.0989463602</v>
      </c>
      <c r="F40" s="1025">
        <f>SUM(F22:F39)</f>
        <v>10381.166529861110</v>
      </c>
      <c r="G40" s="1025">
        <f>SUM(G22:G39)</f>
        <v>11569.532432510414</v>
      </c>
      <c r="H40" s="1025">
        <f>SUM(H22:H39)</f>
        <v>10850.082402272965</v>
      </c>
      <c r="I40" s="1025">
        <f>SUM(I22:I39)</f>
        <v>12114.615738312328</v>
      </c>
      <c r="J40" s="1025">
        <f>SUM(J22:J39)</f>
        <v>13424.455920252734</v>
      </c>
      <c r="K40" s="1025">
        <f>SUM(K22:K39)</f>
        <v>14413.4466794503</v>
      </c>
      <c r="L40" s="1025">
        <f>SUM(L22:L39)</f>
        <v>15815.112786619253</v>
      </c>
      <c r="M40" s="1025">
        <f>SUM(M22:M39)</f>
        <v>17266.2253515372</v>
      </c>
      <c r="N40" s="1025">
        <f>SUM(N22:N39)</f>
        <v>18279.867358309275</v>
      </c>
      <c r="O40" s="1025">
        <f>SUM(O22:O39)</f>
        <v>19831.999779565642</v>
      </c>
      <c r="P40" s="1025">
        <f>SUM(P22:P39)</f>
        <v>21437.252505962239</v>
      </c>
      <c r="Q40" s="1025">
        <f>SUM(Q22:Q39)</f>
        <v>22488.947246065774</v>
      </c>
      <c r="R40" s="1025">
        <f>SUM(R22:R39)</f>
        <v>24205.513495009549</v>
      </c>
      <c r="S40" s="1025">
        <f>SUM(S22:S39)</f>
        <v>25981.437617079446</v>
      </c>
      <c r="T40" s="1025">
        <f>SUM(T22:T39)</f>
        <v>27211.268230147532</v>
      </c>
      <c r="U40" s="1025">
        <f>SUM(U22:U39)</f>
        <v>29109.638905842945</v>
      </c>
      <c r="V40" s="1025">
        <f>SUM(V22:V39)</f>
        <v>31074.262354453174</v>
      </c>
      <c r="W40" s="1025">
        <f>SUM(W22:W39)</f>
        <v>32253.023273178886</v>
      </c>
      <c r="X40" s="1025">
        <f>SUM(X22:X39)</f>
        <v>34352.337488544326</v>
      </c>
      <c r="Y40" s="1025">
        <f>SUM(Y22:Y39)</f>
        <v>36522.492344456572</v>
      </c>
      <c r="Z40" s="1025">
        <f>SUM(Z22:Z39)</f>
        <v>37793.694329702470</v>
      </c>
      <c r="AA40" s="1025">
        <f>SUM(AA22:AA39)</f>
        <v>40112.882158680317</v>
      </c>
      <c r="AB40" s="1025">
        <f>SUM(AB22:AB39)</f>
        <v>42510.290351522912</v>
      </c>
      <c r="AC40" s="1025">
        <f>SUM(AC22:AC39)</f>
        <v>43893.461777541219</v>
      </c>
      <c r="AD40" s="1025">
        <f>SUM(AD22:AD39)</f>
        <v>46454.883130779926</v>
      </c>
      <c r="AE40" s="1025">
        <f>SUM(AE22:AE39)</f>
        <v>49103.761717615358</v>
      </c>
      <c r="AF40" s="1025">
        <f>SUM(AF22:AF39)</f>
        <v>50381.155314520416</v>
      </c>
      <c r="AG40" s="1025">
        <f>SUM(AG22:AG39)</f>
        <v>53208.656336709515</v>
      </c>
      <c r="AH40" s="1025">
        <f>SUM(AH22:AH39)</f>
        <v>56008.862754628055</v>
      </c>
      <c r="AI40" s="1025">
        <f>SUM(AI22:AI39)</f>
        <v>48038.630204985733</v>
      </c>
      <c r="AJ40" s="1025">
        <f>SUM(AJ22:AJ39)</f>
        <v>50524.689047817723</v>
      </c>
      <c r="AK40" s="1025">
        <f>SUM(AK22:AK39)</f>
        <v>53097.921058618093</v>
      </c>
      <c r="AL40" s="1025">
        <f>SUM(AL22:AL39)</f>
        <v>55759.704889439294</v>
      </c>
      <c r="AM40" s="1025">
        <f>SUM(AM22:AM39)</f>
        <v>58513.558211180454</v>
      </c>
      <c r="AN40" s="1025">
        <f>SUM(AN22:AN39)</f>
        <v>61363.104920949147</v>
      </c>
      <c r="AO40" s="1025">
        <f>SUM(AO22:AO39)</f>
        <v>64312.097441328049</v>
      </c>
      <c r="AP40" s="1025">
        <f>SUM(AP22:AP39)</f>
        <v>67362.424088682092</v>
      </c>
      <c r="AQ40" s="1025">
        <f>SUM(AQ22:AQ39)</f>
        <v>70520.096487577306</v>
      </c>
      <c r="AR40" s="1025">
        <f>SUM(AR22:AR39)</f>
        <v>73786.299583320564</v>
      </c>
      <c r="AS40" s="1025">
        <f>SUM(AS22:AS39)</f>
        <v>77165.2992174417</v>
      </c>
      <c r="AT40" s="1025">
        <f>SUM(AT22:AT39)</f>
        <v>80660.579755819577</v>
      </c>
      <c r="AU40" s="1025">
        <f>SUM(AU22:AU39)</f>
        <v>84278.721821658051</v>
      </c>
      <c r="AV40" s="1025">
        <f>SUM(AV22:AV39)</f>
        <v>88021.510135837510</v>
      </c>
      <c r="AW40" s="1025">
        <f>SUM(AW22:AW39)</f>
        <v>91892.87891724</v>
      </c>
      <c r="AX40" s="1025">
        <f>SUM(AX22:AX39)</f>
        <v>95898.924832971214</v>
      </c>
      <c r="AY40" s="1025">
        <f>SUM(AY22:AY39)</f>
        <v>100042.9475884154</v>
      </c>
      <c r="AZ40" s="1025">
        <f>SUM(AZ22:AZ39)</f>
        <v>104331.4130975752</v>
      </c>
      <c r="BA40" s="1025">
        <f>SUM(BA22:BA39)</f>
        <v>108768.9792489173</v>
      </c>
      <c r="BB40" s="1025">
        <f>SUM(BB22:BB39)</f>
        <v>113359.5217820918</v>
      </c>
    </row>
    <row r="41" ht="24" customHeight="1">
      <c r="A41" t="s" s="1137">
        <v>1074</v>
      </c>
      <c r="B41" s="1138"/>
      <c r="C41" s="1139">
        <f>C40</f>
        <v>0</v>
      </c>
      <c r="D41" s="1139">
        <f>C40+D40</f>
        <v>0</v>
      </c>
      <c r="E41" s="1139">
        <f>E40+D41</f>
        <v>309829.0989463602</v>
      </c>
      <c r="F41" s="1139">
        <f>F40+E41</f>
        <v>320210.2654762213</v>
      </c>
      <c r="G41" s="1139">
        <f>G40+F41</f>
        <v>331779.7979087317</v>
      </c>
      <c r="H41" s="1139">
        <f>H40+G41</f>
        <v>342629.8803110046</v>
      </c>
      <c r="I41" s="1139">
        <f>I40+H41</f>
        <v>354744.4960493169</v>
      </c>
      <c r="J41" s="1139">
        <f>J40+I41</f>
        <v>368168.9519695697</v>
      </c>
      <c r="K41" s="1139">
        <f>K40+J41</f>
        <v>382582.3986490199</v>
      </c>
      <c r="L41" s="1139">
        <f>L40+K41</f>
        <v>398397.5114356392</v>
      </c>
      <c r="M41" s="1139">
        <f>M40+L41</f>
        <v>415663.7367871763</v>
      </c>
      <c r="N41" s="1139">
        <f>N40+M41</f>
        <v>433943.6041454856</v>
      </c>
      <c r="O41" s="1139">
        <f>O40+N41</f>
        <v>453775.6039250513</v>
      </c>
      <c r="P41" s="1139">
        <f>P40+O41</f>
        <v>475212.8564310135</v>
      </c>
      <c r="Q41" s="1139">
        <f>Q40+P41</f>
        <v>497701.8036770793</v>
      </c>
      <c r="R41" s="1139">
        <f>R40+Q41</f>
        <v>521907.3171720888</v>
      </c>
      <c r="S41" s="1139">
        <f>S40+R41</f>
        <v>547888.7547891682</v>
      </c>
      <c r="T41" s="1139">
        <f>T40+S41</f>
        <v>575100.0230193158</v>
      </c>
      <c r="U41" s="1139">
        <f>U40+T41</f>
        <v>604209.6619251587</v>
      </c>
      <c r="V41" s="1139">
        <f>V40+U41</f>
        <v>635283.9242796119</v>
      </c>
      <c r="W41" s="1139">
        <f>W40+V41</f>
        <v>667536.9475527907</v>
      </c>
      <c r="X41" s="1139">
        <f>X40+W41</f>
        <v>701889.285041335</v>
      </c>
      <c r="Y41" s="1139">
        <f>Y40+X41</f>
        <v>738411.7773857916</v>
      </c>
      <c r="Z41" s="1139">
        <f>Z40+Y41</f>
        <v>776205.4717154941</v>
      </c>
      <c r="AA41" s="1139">
        <f>AA40+Z41</f>
        <v>816318.3538741744</v>
      </c>
      <c r="AB41" s="1139">
        <f>AB40+AA41</f>
        <v>858828.6442256973</v>
      </c>
      <c r="AC41" s="1139">
        <f>AC40+AB41</f>
        <v>902722.1060032385</v>
      </c>
      <c r="AD41" s="1139">
        <f>AD40+AC41</f>
        <v>949176.9891340184</v>
      </c>
      <c r="AE41" s="1139">
        <f>AE40+AD41</f>
        <v>998280.7508516337</v>
      </c>
      <c r="AF41" s="1139">
        <f>AF40+AE41</f>
        <v>1048661.906166154</v>
      </c>
      <c r="AG41" s="1139">
        <f>AG40+AF41</f>
        <v>1101870.562502864</v>
      </c>
      <c r="AH41" s="1139">
        <f>AH40+AG41</f>
        <v>1157879.425257492</v>
      </c>
      <c r="AI41" s="1139">
        <f>AI40+AH41</f>
        <v>1205918.055462478</v>
      </c>
      <c r="AJ41" s="1139">
        <f>AJ40+AI41</f>
        <v>1256442.744510295</v>
      </c>
      <c r="AK41" s="1139">
        <f>AK40+AJ41</f>
        <v>1309540.665568913</v>
      </c>
      <c r="AL41" s="1139">
        <f>AL40+AK41</f>
        <v>1365300.370458353</v>
      </c>
      <c r="AM41" s="1139">
        <f>AM40+AL41</f>
        <v>1423813.928669533</v>
      </c>
      <c r="AN41" s="1139">
        <f>AN40+AM41</f>
        <v>1485177.033590482</v>
      </c>
      <c r="AO41" s="1139">
        <f>AO40+AN41</f>
        <v>1549489.13103181</v>
      </c>
      <c r="AP41" s="1139">
        <f>AP40+AO41</f>
        <v>1616851.555120492</v>
      </c>
      <c r="AQ41" s="1139">
        <f>AQ40+AP41</f>
        <v>1687371.651608069</v>
      </c>
      <c r="AR41" s="1139">
        <f>AR40+AQ41</f>
        <v>1761157.95119139</v>
      </c>
      <c r="AS41" s="1139">
        <f>AS40+AR41</f>
        <v>1838323.250408832</v>
      </c>
      <c r="AT41" s="1139">
        <f>AT40+AS41</f>
        <v>1918983.830164651</v>
      </c>
      <c r="AU41" s="1139">
        <f>AU40+AT41</f>
        <v>2003262.551986309</v>
      </c>
      <c r="AV41" s="1139">
        <f>AV40+AU41</f>
        <v>2091284.062122147</v>
      </c>
      <c r="AW41" s="1139">
        <f>AW40+AV41</f>
        <v>2183176.941039387</v>
      </c>
      <c r="AX41" s="1139">
        <f>AX40+AW41</f>
        <v>2279075.865872358</v>
      </c>
      <c r="AY41" s="1139">
        <f>AY40+AX41</f>
        <v>2379118.813460773</v>
      </c>
      <c r="AZ41" s="1139">
        <f>AZ40+AY41</f>
        <v>2483450.226558349</v>
      </c>
      <c r="BA41" s="1139">
        <f>BA40+AZ41</f>
        <v>2592219.205807266</v>
      </c>
      <c r="BB41" s="1139">
        <f>BB40+BA41</f>
        <v>2705578.727589358</v>
      </c>
    </row>
    <row r="42" ht="16.5" customHeight="1">
      <c r="A42" s="1140"/>
      <c r="B42" s="40"/>
      <c r="C42" s="1141"/>
      <c r="D42" s="1141"/>
      <c r="E42" s="1142"/>
      <c r="F42" s="1142"/>
      <c r="G42" s="1142"/>
      <c r="H42" s="1142"/>
      <c r="I42" s="1142"/>
      <c r="J42" s="1142"/>
      <c r="K42" s="1142"/>
      <c r="L42" s="1142"/>
      <c r="M42" s="1142"/>
      <c r="N42" s="1142"/>
      <c r="O42" s="1142"/>
      <c r="P42" s="1142"/>
      <c r="Q42" s="1142"/>
      <c r="R42" s="1142"/>
      <c r="S42" s="1142"/>
      <c r="T42" s="1142"/>
      <c r="U42" s="1142"/>
      <c r="V42" s="1142"/>
      <c r="W42" s="1142"/>
      <c r="X42" s="1142"/>
      <c r="Y42" s="1142"/>
      <c r="Z42" s="1142"/>
      <c r="AA42" s="1142"/>
      <c r="AB42" s="1142"/>
      <c r="AC42" s="1142"/>
      <c r="AD42" s="1142"/>
      <c r="AE42" s="1142"/>
      <c r="AF42" s="1142"/>
      <c r="AG42" s="1142"/>
      <c r="AH42" s="1142"/>
      <c r="AI42" s="1142"/>
      <c r="AJ42" s="1142"/>
      <c r="AK42" s="1142"/>
      <c r="AL42" s="1142"/>
      <c r="AM42" s="1142"/>
      <c r="AN42" s="1142"/>
      <c r="AO42" s="1142"/>
      <c r="AP42" s="1142"/>
      <c r="AQ42" s="1142"/>
      <c r="AR42" s="1142"/>
      <c r="AS42" s="1142"/>
      <c r="AT42" s="1142"/>
      <c r="AU42" s="1142"/>
      <c r="AV42" s="1142"/>
      <c r="AW42" s="1142"/>
      <c r="AX42" s="1142"/>
      <c r="AY42" s="1142"/>
      <c r="AZ42" s="1142"/>
      <c r="BA42" s="1142"/>
      <c r="BB42" s="1142"/>
    </row>
    <row r="43" ht="15.75" customHeight="1">
      <c r="A43" s="1143"/>
      <c r="B43" s="11"/>
      <c r="C43" s="11"/>
      <c r="D43" s="11"/>
      <c r="E43" s="1144"/>
      <c r="F43" s="1144"/>
      <c r="G43" s="1144"/>
      <c r="H43" s="1144"/>
      <c r="I43" s="1144"/>
      <c r="J43" s="1144"/>
      <c r="K43" s="1144"/>
      <c r="L43" s="1144"/>
      <c r="M43" s="1144"/>
      <c r="N43" s="1144"/>
      <c r="O43" s="1144"/>
      <c r="P43" s="1144"/>
      <c r="Q43" s="1144"/>
      <c r="R43" s="1144"/>
      <c r="S43" s="1144"/>
      <c r="T43" s="1144"/>
      <c r="U43" s="1144"/>
      <c r="V43" s="1144"/>
      <c r="W43" s="1144"/>
      <c r="X43" s="1144"/>
      <c r="Y43" s="1144"/>
      <c r="Z43" s="1144"/>
      <c r="AA43" s="1144"/>
      <c r="AB43" s="1144"/>
      <c r="AC43" s="1144"/>
      <c r="AD43" s="1144"/>
      <c r="AE43" s="1144"/>
      <c r="AF43" s="1144"/>
      <c r="AG43" s="1144"/>
      <c r="AH43" s="1144"/>
      <c r="AI43" s="1144"/>
      <c r="AJ43" s="1144"/>
      <c r="AK43" s="1144"/>
      <c r="AL43" s="1144"/>
      <c r="AM43" s="1144"/>
      <c r="AN43" s="1144"/>
      <c r="AO43" s="1144"/>
      <c r="AP43" s="1144"/>
      <c r="AQ43" s="1144"/>
      <c r="AR43" s="1144"/>
      <c r="AS43" s="1144"/>
      <c r="AT43" s="1144"/>
      <c r="AU43" s="1144"/>
      <c r="AV43" s="1144"/>
      <c r="AW43" s="1144"/>
      <c r="AX43" s="1144"/>
      <c r="AY43" s="1144"/>
      <c r="AZ43" s="1144"/>
      <c r="BA43" s="1144"/>
      <c r="BB43" s="1144"/>
    </row>
    <row r="44" ht="15" customHeight="1" hidden="1">
      <c r="A44" s="708"/>
      <c r="B44" s="708"/>
      <c r="C44" s="708"/>
      <c r="D44" s="708"/>
      <c r="E44" s="1102">
        <f>E6</f>
        <v>2021</v>
      </c>
      <c r="F44" s="708">
        <f>F6</f>
        <v>2022</v>
      </c>
      <c r="G44" s="708">
        <f>G6</f>
        <v>2023</v>
      </c>
      <c r="H44" s="708">
        <f>H6</f>
        <v>2024</v>
      </c>
      <c r="I44" s="708">
        <f>I6</f>
        <v>2025</v>
      </c>
      <c r="J44" s="708">
        <f>J6</f>
        <v>2026</v>
      </c>
      <c r="K44" s="708">
        <f>K6</f>
        <v>2027</v>
      </c>
      <c r="L44" s="708">
        <f>L6</f>
        <v>2028</v>
      </c>
      <c r="M44" s="708">
        <f>M6</f>
        <v>2029</v>
      </c>
      <c r="N44" s="708">
        <f>N6</f>
        <v>2030</v>
      </c>
      <c r="O44" s="708">
        <f>O6</f>
        <v>2031</v>
      </c>
      <c r="P44" s="708">
        <f>P6</f>
        <v>2032</v>
      </c>
      <c r="Q44" s="708">
        <f>Q6</f>
        <v>2033</v>
      </c>
      <c r="R44" s="708">
        <f>R6</f>
        <v>2034</v>
      </c>
      <c r="S44" s="708">
        <f>S6</f>
        <v>2035</v>
      </c>
      <c r="T44" s="708">
        <f>T6</f>
        <v>2036</v>
      </c>
      <c r="U44" s="708">
        <f>U6</f>
        <v>2037</v>
      </c>
      <c r="V44" s="708">
        <f>V6</f>
        <v>2038</v>
      </c>
      <c r="W44" s="708">
        <f>W6</f>
        <v>2039</v>
      </c>
      <c r="X44" s="708">
        <f>X6</f>
        <v>2040</v>
      </c>
      <c r="Y44" s="708">
        <f>Y6</f>
        <v>2041</v>
      </c>
      <c r="Z44" s="708">
        <f>Z6</f>
        <v>2042</v>
      </c>
      <c r="AA44" s="708">
        <f>AA6</f>
        <v>2043</v>
      </c>
      <c r="AB44" s="708">
        <f>AB6</f>
        <v>2044</v>
      </c>
      <c r="AC44" s="708">
        <f>AC6</f>
        <v>2045</v>
      </c>
      <c r="AD44" s="708">
        <f>AD6</f>
        <v>2046</v>
      </c>
      <c r="AE44" s="708">
        <f>AE6</f>
        <v>2047</v>
      </c>
      <c r="AF44" s="708">
        <f>AF6</f>
        <v>2048</v>
      </c>
      <c r="AG44" s="708">
        <f>AG6</f>
        <v>2049</v>
      </c>
      <c r="AH44" s="708">
        <f>AH6</f>
        <v>2050</v>
      </c>
      <c r="AI44" s="708">
        <f>AI6</f>
        <v>2051</v>
      </c>
      <c r="AJ44" s="708">
        <f>AJ6</f>
        <v>2052</v>
      </c>
      <c r="AK44" s="708">
        <f>AK6</f>
        <v>2053</v>
      </c>
      <c r="AL44" s="708">
        <f>AL6</f>
        <v>2054</v>
      </c>
      <c r="AM44" s="708">
        <f>AM6</f>
        <v>2055</v>
      </c>
      <c r="AN44" s="708">
        <f>AN6</f>
        <v>2056</v>
      </c>
      <c r="AO44" s="708">
        <f>AO6</f>
        <v>2057</v>
      </c>
      <c r="AP44" s="708">
        <f>AP6</f>
        <v>2058</v>
      </c>
      <c r="AQ44" s="708">
        <f>AQ6</f>
        <v>2059</v>
      </c>
      <c r="AR44" s="708">
        <f>AR6</f>
        <v>2060</v>
      </c>
      <c r="AS44" s="708">
        <f>AS6</f>
        <v>2061</v>
      </c>
      <c r="AT44" s="708">
        <f>AT6</f>
        <v>2062</v>
      </c>
      <c r="AU44" s="708">
        <f>AU6</f>
        <v>2063</v>
      </c>
      <c r="AV44" s="708">
        <f>AV6</f>
        <v>2064</v>
      </c>
      <c r="AW44" s="708">
        <f>AW6</f>
        <v>2065</v>
      </c>
      <c r="AX44" s="708">
        <f>AX6</f>
        <v>2066</v>
      </c>
      <c r="AY44" s="708">
        <f>AY6</f>
        <v>2067</v>
      </c>
      <c r="AZ44" s="708">
        <f>AZ6</f>
        <v>2068</v>
      </c>
      <c r="BA44" s="708">
        <f>BA6</f>
        <v>2069</v>
      </c>
      <c r="BB44" s="708">
        <f>BB6</f>
        <v>2070</v>
      </c>
    </row>
    <row r="45" ht="15" customHeight="1" hidden="1">
      <c r="A45" s="11"/>
      <c r="B45" s="11"/>
      <c r="C45" s="11"/>
      <c r="D45" s="11"/>
      <c r="E45" s="86">
        <f>E8</f>
        <v>1</v>
      </c>
      <c r="F45" s="86">
        <f>F8</f>
        <v>2</v>
      </c>
      <c r="G45" s="86">
        <f>G8</f>
        <v>3</v>
      </c>
      <c r="H45" s="86">
        <f>H8</f>
        <v>4</v>
      </c>
      <c r="I45" s="86">
        <f>I8</f>
        <v>5</v>
      </c>
      <c r="J45" s="86">
        <f>J8</f>
        <v>6</v>
      </c>
      <c r="K45" s="86">
        <f>K8</f>
        <v>7</v>
      </c>
      <c r="L45" s="86">
        <f>L8</f>
        <v>8</v>
      </c>
      <c r="M45" s="86">
        <f>M8</f>
        <v>9</v>
      </c>
      <c r="N45" s="86">
        <f>N8</f>
        <v>10</v>
      </c>
      <c r="O45" s="86">
        <f>O8</f>
        <v>11</v>
      </c>
      <c r="P45" s="86">
        <f>P8</f>
        <v>12</v>
      </c>
      <c r="Q45" s="86">
        <f>Q8</f>
        <v>13</v>
      </c>
      <c r="R45" s="86">
        <f>R8</f>
        <v>14</v>
      </c>
      <c r="S45" s="86">
        <f>S8</f>
        <v>15</v>
      </c>
      <c r="T45" s="86">
        <f>T8</f>
        <v>16</v>
      </c>
      <c r="U45" s="86">
        <f>U8</f>
        <v>17</v>
      </c>
      <c r="V45" s="86">
        <f>V8</f>
        <v>18</v>
      </c>
      <c r="W45" s="86">
        <f>W8</f>
        <v>19</v>
      </c>
      <c r="X45" s="86">
        <f>X8</f>
        <v>20</v>
      </c>
      <c r="Y45" s="86">
        <f>Y8</f>
        <v>21</v>
      </c>
      <c r="Z45" s="86">
        <f>Z8</f>
        <v>22</v>
      </c>
      <c r="AA45" s="86">
        <f>AA8</f>
        <v>23</v>
      </c>
      <c r="AB45" s="86">
        <f>AB8</f>
        <v>24</v>
      </c>
      <c r="AC45" s="86">
        <f>AC8</f>
        <v>25</v>
      </c>
      <c r="AD45" s="86">
        <f>AD8</f>
        <v>26</v>
      </c>
      <c r="AE45" s="86">
        <f>AE8</f>
        <v>27</v>
      </c>
      <c r="AF45" s="86">
        <f>AF8</f>
        <v>28</v>
      </c>
      <c r="AG45" s="86">
        <f>AG8</f>
        <v>29</v>
      </c>
      <c r="AH45" s="86">
        <f>AH8</f>
        <v>30</v>
      </c>
      <c r="AI45" s="86">
        <f>AI8</f>
        <v>31</v>
      </c>
      <c r="AJ45" s="86">
        <f>AJ8</f>
        <v>32</v>
      </c>
      <c r="AK45" s="86">
        <f>AK8</f>
        <v>33</v>
      </c>
      <c r="AL45" s="86">
        <f>AL8</f>
        <v>34</v>
      </c>
      <c r="AM45" s="86">
        <f>AM8</f>
        <v>35</v>
      </c>
      <c r="AN45" s="86">
        <f>AN8</f>
        <v>36</v>
      </c>
      <c r="AO45" s="86">
        <f>AO8</f>
        <v>37</v>
      </c>
      <c r="AP45" s="86">
        <f>AP8</f>
        <v>38</v>
      </c>
      <c r="AQ45" s="86">
        <f>AQ8</f>
        <v>39</v>
      </c>
      <c r="AR45" s="86">
        <f>AR8</f>
        <v>40</v>
      </c>
      <c r="AS45" s="86">
        <f>AS8</f>
        <v>41</v>
      </c>
      <c r="AT45" s="86">
        <f>AT8</f>
        <v>42</v>
      </c>
      <c r="AU45" s="86">
        <f>AU8</f>
        <v>43</v>
      </c>
      <c r="AV45" s="86">
        <f>AV8</f>
        <v>44</v>
      </c>
      <c r="AW45" s="86">
        <f>AW8</f>
        <v>45</v>
      </c>
      <c r="AX45" s="86">
        <f>AX8</f>
        <v>46</v>
      </c>
      <c r="AY45" s="86">
        <f>AY8</f>
        <v>47</v>
      </c>
      <c r="AZ45" s="86">
        <f>AZ8</f>
        <v>48</v>
      </c>
      <c r="BA45" s="86">
        <f>BA8</f>
        <v>49</v>
      </c>
      <c r="BB45" s="86">
        <f>BB8</f>
        <v>50</v>
      </c>
    </row>
    <row r="46" ht="15" customHeight="1" hidden="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row>
    <row r="47" ht="15" customHeight="1" hidden="1">
      <c r="A47" t="s" s="751">
        <v>1075</v>
      </c>
      <c r="B47" s="11"/>
      <c r="C47" s="11"/>
      <c r="D47" s="11"/>
      <c r="E47" s="86">
        <f>E22+E33+E34+E38+E25+E26+E29+E30</f>
        <v>333420.9889463602</v>
      </c>
      <c r="F47" s="86">
        <f>F22+F33+F34+F38+F25+F26+F29+F30</f>
        <v>33840.896529861107</v>
      </c>
      <c r="G47" s="86">
        <f>G22+G33+G34+G38+G25+G26+G29+G30</f>
        <v>34891.152432510411</v>
      </c>
      <c r="H47" s="86">
        <f>H22+H33+H34+H38+H25+H26+H29+H30</f>
        <v>34027.372402272966</v>
      </c>
      <c r="I47" s="86">
        <f>I22+I33+I34+I38+I25+I26+I29+I30</f>
        <v>35141.085738312329</v>
      </c>
      <c r="J47" s="86">
        <f>J22+J33+J34+J38+J25+J26+J29+J30</f>
        <v>36293.315920252731</v>
      </c>
      <c r="K47" s="86">
        <f>K22+K33+K34+K38+K25+K26+K29+K30</f>
        <v>37117.606679450306</v>
      </c>
      <c r="L47" s="86">
        <f>L22+L33+L34+L38+L25+L26+L29+L30</f>
        <v>38347.152786619255</v>
      </c>
      <c r="M47" s="86">
        <f>M22+M33+M34+M38+M25+M26+M29+M30</f>
        <v>39618.4053515372</v>
      </c>
      <c r="N47" s="86">
        <f>N22+N33+N34+N38+N25+N26+N29+N30</f>
        <v>40444.097358309271</v>
      </c>
      <c r="O47" s="86">
        <f>O22+O33+O34+O38+O25+O26+O29+O30</f>
        <v>41799.819779565645</v>
      </c>
      <c r="P47" s="86">
        <f>P22+P33+P34+P38+P25+P26+P29+P30</f>
        <v>43199.822505962235</v>
      </c>
      <c r="Q47" s="86">
        <f>Q22+Q33+Q34+Q38+Q25+Q26+Q29+Q30</f>
        <v>44037.037246065775</v>
      </c>
      <c r="R47" s="86">
        <f>R22+R33+R34+R38+R25+R26+R29+R30</f>
        <v>45529.463495009550</v>
      </c>
      <c r="S47" s="86">
        <f>S22+S33+S34+S38+S25+S26+S29+S30</f>
        <v>47071.167617079445</v>
      </c>
      <c r="T47" s="86">
        <f>T22+T33+T34+T38+T25+T26+T29+T30</f>
        <v>48056.238230147537</v>
      </c>
      <c r="U47" s="86">
        <f>U22+U33+U34+U38+U25+U26+U29+U30</f>
        <v>49698.828905842944</v>
      </c>
      <c r="V47" s="86">
        <f>V22+V33+V34+V38+V25+V26+V29+V30</f>
        <v>51396.162354453176</v>
      </c>
      <c r="W47" s="86">
        <f>W22+W33+W34+W38+W25+W26+W29+W30</f>
        <v>52295.613273178882</v>
      </c>
      <c r="X47" s="86">
        <f>X22+X33+X34+X38+X25+X26+X29+X30</f>
        <v>54103.037488544323</v>
      </c>
      <c r="Y47" s="86">
        <f>Y22+Y33+Y34+Y38+Y25+Y26+Y29+Y30</f>
        <v>55968.172344456572</v>
      </c>
      <c r="Z47" s="86">
        <f>Z22+Z33+Z34+Z38+Z25+Z26+Z29+Z30</f>
        <v>56920.634329702472</v>
      </c>
      <c r="AA47" s="86">
        <f>AA22+AA33+AA34+AA38+AA25+AA26+AA29+AA30</f>
        <v>58906.732158680315</v>
      </c>
      <c r="AB47" s="86">
        <f>AB22+AB33+AB34+AB38+AB25+AB26+AB29+AB30</f>
        <v>60956.060351522916</v>
      </c>
      <c r="AC47" s="86">
        <f>AC22+AC33+AC34+AC38+AC25+AC26+AC29+AC30</f>
        <v>61975.491777541218</v>
      </c>
      <c r="AD47" s="86">
        <f>AD22+AD33+AD34+AD38+AD25+AD26+AD29+AD30</f>
        <v>64156.803130779925</v>
      </c>
      <c r="AE47" s="86">
        <f>AE22+AE33+AE34+AE38+AE25+AE26+AE29+AE30</f>
        <v>66408.471717615364</v>
      </c>
      <c r="AF47" s="86">
        <f>AF22+AF33+AF34+AF38+AF25+AF26+AF29+AF30</f>
        <v>67270.775314520419</v>
      </c>
      <c r="AG47" s="86">
        <f>AG22+AG33+AG34+AG38+AG25+AG26+AG29+AG30</f>
        <v>69664.506336709514</v>
      </c>
      <c r="AH47" s="86">
        <f>AH22+AH33+AH34+AH38+AH25+AH26+AH29+AH30</f>
        <v>72011.432754628055</v>
      </c>
      <c r="AI47" s="86">
        <f>AI22+AI33+AI34+AI38+AI25+AI26+AI29+AI30</f>
        <v>63567.510204985723</v>
      </c>
      <c r="AJ47" s="86">
        <f>AJ22+AJ33+AJ34+AJ38+AJ25+AJ26+AJ29+AJ30</f>
        <v>65558.569047817728</v>
      </c>
      <c r="AK47" s="86">
        <f>AK22+AK33+AK34+AK38+AK25+AK26+AK29+AK30</f>
        <v>67614.521058618091</v>
      </c>
      <c r="AL47" s="86">
        <f>AL22+AL33+AL34+AL38+AL25+AL26+AL29+AL30</f>
        <v>69735.7548894393</v>
      </c>
      <c r="AM47" s="86">
        <f>AM22+AM33+AM34+AM38+AM25+AM26+AM29+AM30</f>
        <v>71924.728211180452</v>
      </c>
      <c r="AN47" s="86">
        <f>AN22+AN33+AN34+AN38+AN25+AN26+AN29+AN30</f>
        <v>74183.974920949142</v>
      </c>
      <c r="AO47" s="86">
        <f>AO22+AO33+AO34+AO38+AO25+AO26+AO29+AO30</f>
        <v>76516.107441328058</v>
      </c>
      <c r="AP47" s="86">
        <f>AP22+AP33+AP34+AP38+AP25+AP26+AP29+AP30</f>
        <v>78921.814088682091</v>
      </c>
      <c r="AQ47" s="86">
        <f>AQ22+AQ33+AQ34+AQ38+AQ25+AQ26+AQ29+AQ30</f>
        <v>81405.866487577310</v>
      </c>
      <c r="AR47" s="86">
        <f>AR22+AR33+AR34+AR38+AR25+AR26+AR29+AR30</f>
        <v>83968.119583320571</v>
      </c>
      <c r="AS47" s="86">
        <f>AS22+AS33+AS34+AS38+AS25+AS26+AS29+AS30</f>
        <v>86611.509217441693</v>
      </c>
      <c r="AT47" s="86">
        <f>AT22+AT33+AT34+AT38+AT25+AT26+AT29+AT30</f>
        <v>89338.059755819573</v>
      </c>
      <c r="AU47" s="86">
        <f>AU22+AU33+AU34+AU38+AU25+AU26+AU29+AU30</f>
        <v>92152.891821658050</v>
      </c>
      <c r="AV47" s="86">
        <f>AV22+AV33+AV34+AV38+AV25+AV26+AV29+AV30</f>
        <v>95056.220135837517</v>
      </c>
      <c r="AW47" s="86">
        <f>AW22+AW33+AW34+AW38+AW25+AW26+AW29+AW30</f>
        <v>98050.34891724</v>
      </c>
      <c r="AX47" s="86">
        <f>AX22+AX33+AX34+AX38+AX25+AX26+AX29+AX30</f>
        <v>101139.6848329712</v>
      </c>
      <c r="AY47" s="86">
        <f>AY22+AY33+AY34+AY38+AY25+AY26+AY29+AY30</f>
        <v>104325.7375884154</v>
      </c>
      <c r="AZ47" s="86">
        <f>AZ22+AZ33+AZ34+AZ38+AZ25+AZ26+AZ29+AZ30</f>
        <v>107613.1230975752</v>
      </c>
      <c r="BA47" s="86">
        <f>BA22+BA33+BA34+BA38+BA25+BA26+BA29+BA30</f>
        <v>111004.5692489173</v>
      </c>
      <c r="BB47" s="86">
        <f>BB22+BB33+BB34+BB38+BB25+BB26+BB29+BB30</f>
        <v>114501.9117820918</v>
      </c>
    </row>
    <row r="48" ht="15" customHeight="1" hidden="1">
      <c r="A48" t="s" s="751">
        <v>1076</v>
      </c>
      <c r="B48" s="11"/>
      <c r="C48" s="11"/>
      <c r="D48" s="11"/>
      <c r="E48" s="86">
        <f>E37</f>
        <v>-23591.89</v>
      </c>
      <c r="F48" s="86">
        <f>F37</f>
        <v>-23459.73</v>
      </c>
      <c r="G48" s="86">
        <f>G37</f>
        <v>-23321.62</v>
      </c>
      <c r="H48" s="86">
        <f>H37</f>
        <v>-23177.29</v>
      </c>
      <c r="I48" s="86">
        <f>I37</f>
        <v>-23026.47</v>
      </c>
      <c r="J48" s="86">
        <f>J37</f>
        <v>-22868.86</v>
      </c>
      <c r="K48" s="86">
        <f>K37</f>
        <v>-22704.16</v>
      </c>
      <c r="L48" s="86">
        <f>L37</f>
        <v>-22532.04</v>
      </c>
      <c r="M48" s="86">
        <f>M37</f>
        <v>-22352.18</v>
      </c>
      <c r="N48" s="86">
        <f>N37</f>
        <v>-22164.23</v>
      </c>
      <c r="O48" s="86">
        <f>O37</f>
        <v>-21967.82</v>
      </c>
      <c r="P48" s="86">
        <f>P37</f>
        <v>-21762.57</v>
      </c>
      <c r="Q48" s="86">
        <f>Q37</f>
        <v>-21548.09</v>
      </c>
      <c r="R48" s="86">
        <f>R37</f>
        <v>-21323.95</v>
      </c>
      <c r="S48" s="86">
        <f>S37</f>
        <v>-21089.73</v>
      </c>
      <c r="T48" s="86">
        <f>T37</f>
        <v>-20844.97</v>
      </c>
      <c r="U48" s="86">
        <f>U37</f>
        <v>-20589.19</v>
      </c>
      <c r="V48" s="86">
        <f>V37</f>
        <v>-20321.9</v>
      </c>
      <c r="W48" s="86">
        <f>W37</f>
        <v>-20042.59</v>
      </c>
      <c r="X48" s="86">
        <f>X37</f>
        <v>-19750.7</v>
      </c>
      <c r="Y48" s="86">
        <f>Y37</f>
        <v>-19445.68</v>
      </c>
      <c r="Z48" s="86">
        <f>Z37</f>
        <v>-19126.94</v>
      </c>
      <c r="AA48" s="86">
        <f>AA37</f>
        <v>-18793.85</v>
      </c>
      <c r="AB48" s="86">
        <f>AB37</f>
        <v>-18445.77</v>
      </c>
      <c r="AC48" s="86">
        <f>AC37</f>
        <v>-18082.03</v>
      </c>
      <c r="AD48" s="86">
        <f>AD37</f>
        <v>-17701.92</v>
      </c>
      <c r="AE48" s="86">
        <f>AE37</f>
        <v>-17304.71</v>
      </c>
      <c r="AF48" s="86">
        <f>AF37</f>
        <v>-16889.62</v>
      </c>
      <c r="AG48" s="86">
        <f>AG37</f>
        <v>-16455.85</v>
      </c>
      <c r="AH48" s="86">
        <f>AH37</f>
        <v>-16002.57</v>
      </c>
      <c r="AI48" s="86">
        <f>AI37</f>
        <v>-15528.88</v>
      </c>
      <c r="AJ48" s="86">
        <f>AJ37</f>
        <v>-15033.88</v>
      </c>
      <c r="AK48" s="86">
        <f>AK37</f>
        <v>-14516.6</v>
      </c>
      <c r="AL48" s="86">
        <f>AL37</f>
        <v>-13976.05</v>
      </c>
      <c r="AM48" s="86">
        <f>AM37</f>
        <v>-13411.17</v>
      </c>
      <c r="AN48" s="86">
        <f>AN37</f>
        <v>-12820.87</v>
      </c>
      <c r="AO48" s="86">
        <f>AO37</f>
        <v>-12204.01</v>
      </c>
      <c r="AP48" s="86">
        <f>AP37</f>
        <v>-11559.39</v>
      </c>
      <c r="AQ48" s="86">
        <f>AQ37</f>
        <v>-10885.77</v>
      </c>
      <c r="AR48" s="86">
        <f>AR37</f>
        <v>-10181.82</v>
      </c>
      <c r="AS48" s="86">
        <f>AS37</f>
        <v>-9446.209999999999</v>
      </c>
      <c r="AT48" s="86">
        <f>AT37</f>
        <v>-8677.48</v>
      </c>
      <c r="AU48" s="86">
        <f>AU37</f>
        <v>-7874.17</v>
      </c>
      <c r="AV48" s="86">
        <f>AV37</f>
        <v>-7034.71</v>
      </c>
      <c r="AW48" s="86">
        <f>AW37</f>
        <v>-6157.47</v>
      </c>
      <c r="AX48" s="86">
        <f>AX37</f>
        <v>-5240.76</v>
      </c>
      <c r="AY48" s="86">
        <f>AY37</f>
        <v>-4282.79</v>
      </c>
      <c r="AZ48" s="86">
        <f>AZ37</f>
        <v>-3281.71</v>
      </c>
      <c r="BA48" s="86">
        <f>BA37</f>
        <v>-2235.59</v>
      </c>
      <c r="BB48" s="86">
        <f>BB37</f>
        <v>-1142.39</v>
      </c>
    </row>
    <row r="49" ht="15" customHeight="1" hidden="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row>
    <row r="50" ht="15" customHeight="1" hidden="1">
      <c r="A50" s="11"/>
      <c r="B50" s="11"/>
      <c r="C50" s="11"/>
      <c r="D50" s="11"/>
      <c r="E50" s="1145">
        <f>IF(E48&lt;0,-E47/-E48,0)</f>
        <v>-14.13286468131041</v>
      </c>
      <c r="F50" s="1145">
        <f>IF(F48&lt;0,-F47/-F48,0)</f>
        <v>-1.442510059999033</v>
      </c>
      <c r="G50" s="1145">
        <f>IF(G48&lt;0,-G47/-G48,0)</f>
        <v>-1.496086139492471</v>
      </c>
      <c r="H50" s="1145">
        <f>IF(H48&lt;0,-H47/-H48,0)</f>
        <v>-1.468134212510305</v>
      </c>
      <c r="I50" s="1145">
        <f>IF(I48&lt;0,-I47/-I48,0)</f>
        <v>-1.526116931440743</v>
      </c>
      <c r="J50" s="1145">
        <f>IF(J48&lt;0,-J47/-J48,0)</f>
        <v>-1.587019025882914</v>
      </c>
      <c r="K50" s="1145">
        <f>IF(K48&lt;0,-K47/-K48,0)</f>
        <v>-1.634837257993703</v>
      </c>
      <c r="L50" s="1145">
        <f>IF(L48&lt;0,-L47/-L48,0)</f>
        <v>-1.701894403996232</v>
      </c>
      <c r="M50" s="1145">
        <f>IF(M48&lt;0,-M47/-M48,0)</f>
        <v>-1.772462701693401</v>
      </c>
      <c r="N50" s="1145">
        <f>IF(N48&lt;0,-N47/-N48,0)</f>
        <v>-1.824746330385006</v>
      </c>
      <c r="O50" s="1145">
        <f>IF(O48&lt;0,-O47/-O48,0)</f>
        <v>-1.902775049120288</v>
      </c>
      <c r="P50" s="1145">
        <f>IF(P48&lt;0,-P47/-P48,0)</f>
        <v>-1.985051513031882</v>
      </c>
      <c r="Q50" s="1145">
        <f>IF(Q48&lt;0,-Q47/-Q48,0)</f>
        <v>-2.043663138870581</v>
      </c>
      <c r="R50" s="1145">
        <f>IF(R48&lt;0,-R47/-R48,0)</f>
        <v>-2.135132726113574</v>
      </c>
      <c r="S50" s="1145">
        <f>IF(S48&lt;0,-S47/-S48,0)</f>
        <v>-2.231947379937033</v>
      </c>
      <c r="T50" s="1145">
        <f>IF(T48&lt;0,-T47/-T48,0)</f>
        <v>-2.305411724274371</v>
      </c>
      <c r="U50" s="1145">
        <f>IF(U48&lt;0,-U47/-U48,0)</f>
        <v>-2.413831185483399</v>
      </c>
      <c r="V50" s="1145">
        <f>IF(V48&lt;0,-V47/-V48,0)</f>
        <v>-2.529102217531489</v>
      </c>
      <c r="W50" s="1145">
        <f>IF(W48&lt;0,-W47/-W48,0)</f>
        <v>-2.609224320468507</v>
      </c>
      <c r="X50" s="1145">
        <f>IF(X48&lt;0,-X47/-X48,0)</f>
        <v>-2.739297214202247</v>
      </c>
      <c r="Y50" s="1145">
        <f>IF(Y48&lt;0,-Y47/-Y48,0)</f>
        <v>-2.878180261346303</v>
      </c>
      <c r="Z50" s="1145">
        <f>IF(Z48&lt;0,-Z47/-Z48,0)</f>
        <v>-2.975940444718417</v>
      </c>
      <c r="AA50" s="1145">
        <f>IF(AA48&lt;0,-AA47/-AA48,0)</f>
        <v>-3.134362153506616</v>
      </c>
      <c r="AB50" s="1145">
        <f>IF(AB48&lt;0,-AB47/-AB48,0)</f>
        <v>-3.304609151665824</v>
      </c>
      <c r="AC50" s="1145">
        <f>IF(AC48&lt;0,-AC47/-AC48,0)</f>
        <v>-3.427463165227644</v>
      </c>
      <c r="AD50" s="1145">
        <f>IF(AD48&lt;0,-AD47/-AD48,0)</f>
        <v>-3.624285000202234</v>
      </c>
      <c r="AE50" s="1145">
        <f>IF(AE48&lt;0,-AE47/-AE48,0)</f>
        <v>-3.837595181751984</v>
      </c>
      <c r="AF50" s="1145">
        <f>IF(AF48&lt;0,-AF47/-AF48,0)</f>
        <v>-3.982965591559811</v>
      </c>
      <c r="AG50" s="1145">
        <f>IF(AG48&lt;0,-AG47/-AG48,0)</f>
        <v>-4.233418895815745</v>
      </c>
      <c r="AH50" s="1145">
        <f>IF(AH48&lt;0,-AH47/-AH48,0)</f>
        <v>-4.49999173599166</v>
      </c>
      <c r="AI50" s="1145">
        <f>IF(AI48&lt;0,-AI47/-AI48,0)</f>
        <v>-4.093502571015149</v>
      </c>
      <c r="AJ50" s="1145">
        <f>IF(AJ48&lt;0,-AJ47/-AJ48,0)</f>
        <v>-4.360721852763074</v>
      </c>
      <c r="AK50" s="1145">
        <f>IF(AK48&lt;0,-AK47/-AK48,0)</f>
        <v>-4.657738110757208</v>
      </c>
      <c r="AL50" s="1145">
        <f>IF(AL48&lt;0,-AL47/-AL48,0)</f>
        <v>-4.989661233999542</v>
      </c>
      <c r="AM50" s="1145">
        <f>IF(AM48&lt;0,-AM47/-AM48,0)</f>
        <v>-5.363046491184621</v>
      </c>
      <c r="AN50" s="1145">
        <f>IF(AN48&lt;0,-AN47/-AN48,0)</f>
        <v>-5.786188840612933</v>
      </c>
      <c r="AO50" s="1145">
        <f>IF(AO48&lt;0,-AO47/-AO48,0)</f>
        <v>-6.269751290053684</v>
      </c>
      <c r="AP50" s="1145">
        <f>IF(AP48&lt;0,-AP47/-AP48,0)</f>
        <v>-6.827506822477838</v>
      </c>
      <c r="AQ50" s="1145">
        <f>IF(AQ48&lt;0,-AQ47/-AQ48,0)</f>
        <v>-7.478190930690002</v>
      </c>
      <c r="AR50" s="1145">
        <f>IF(AR48&lt;0,-AR47/-AR48,0)</f>
        <v>-8.246867414992661</v>
      </c>
      <c r="AS50" s="1145">
        <f>IF(AS48&lt;0,-AS47/-AS48,0)</f>
        <v>-9.168916339721614</v>
      </c>
      <c r="AT50" s="1145">
        <f>IF(AT48&lt;0,-AT47/-AT48,0)</f>
        <v>-10.29539218250224</v>
      </c>
      <c r="AU50" s="1145">
        <f>IF(AU48&lt;0,-AU47/-AU48,0)</f>
        <v>-11.70318799589773</v>
      </c>
      <c r="AV50" s="1145">
        <f>IF(AV48&lt;0,-AV47/-AV48,0)</f>
        <v>-13.51245753354972</v>
      </c>
      <c r="AW50" s="1145">
        <f>IF(AW48&lt;0,-AW47/-AW48,0)</f>
        <v>-15.92380456863614</v>
      </c>
      <c r="AX50" s="1145">
        <f>IF(AX48&lt;0,-AX47/-AX48,0)</f>
        <v>-19.29866752779582</v>
      </c>
      <c r="AY50" s="1145">
        <f>IF(AY48&lt;0,-AY47/-AY48,0)</f>
        <v>-24.35929326173252</v>
      </c>
      <c r="AZ50" s="1145">
        <f>IF(AZ48&lt;0,-AZ47/-AZ48,0)</f>
        <v>-32.79178327688162</v>
      </c>
      <c r="BA50" s="1145">
        <f>IF(BA48&lt;0,-BA47/-BA48,0)</f>
        <v>-49.6533663368137</v>
      </c>
      <c r="BB50" s="1145">
        <f>IF(BB48&lt;0,-BB47/-BB48,0)</f>
        <v>-100.2301418798237</v>
      </c>
    </row>
    <row r="51" ht="15" customHeight="1" hidden="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row>
    <row r="52" ht="15" customHeight="1" hidden="1">
      <c r="A52" t="s" s="751">
        <v>1077</v>
      </c>
      <c r="B52" s="11"/>
      <c r="C52" s="11"/>
      <c r="D52" s="11"/>
      <c r="E52" s="1145">
        <f>SUM(E47:S47)/-SUM(E48:S48)</f>
        <v>2.626310458053311</v>
      </c>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row>
    <row r="53" ht="15" customHeight="1" hidden="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row>
    <row r="54" ht="15" customHeight="1" hidden="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row>
    <row r="55" ht="15" customHeight="1" hidden="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row>
    <row r="56" ht="15" customHeight="1" hidden="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row>
    <row r="57" ht="15" customHeight="1" hidden="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row>
    <row r="58" ht="15" customHeight="1" hidden="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row>
    <row r="59" ht="15" customHeight="1" hidden="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row>
    <row r="60" ht="15" customHeight="1" hidden="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row>
    <row r="61" ht="15" customHeight="1" hidden="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row>
    <row r="62" ht="15" customHeight="1" hidden="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row>
    <row r="63" ht="15" customHeight="1" hidden="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row>
    <row r="64" ht="15" customHeight="1" hidden="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row>
    <row r="65" ht="15" customHeight="1" hidden="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row>
    <row r="66" ht="15" customHeight="1" hidden="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row>
    <row r="67" ht="15" customHeight="1" hidden="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row>
    <row r="68" ht="15" customHeight="1" hidden="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row>
    <row r="69" ht="15" customHeight="1" hidden="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row>
    <row r="70" ht="15" customHeight="1" hidden="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row>
    <row r="71" ht="15" customHeight="1" hidden="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row>
    <row r="72" ht="15" customHeight="1" hidden="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row>
    <row r="73" ht="15" customHeight="1" hidden="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row>
    <row r="74" ht="15" customHeight="1" hidden="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row>
    <row r="75" ht="15" customHeight="1" hidden="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row>
    <row r="76" ht="15" customHeight="1" hidden="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row>
    <row r="77" ht="15" customHeight="1" hidden="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row>
    <row r="78" ht="15" customHeight="1" hidden="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row>
    <row r="79" ht="15" customHeight="1" hidden="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row>
    <row r="80" ht="15" customHeight="1" hidden="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row>
    <row r="81" ht="15" customHeight="1" hidden="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row>
    <row r="82" ht="15" customHeight="1" hidden="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row>
    <row r="83" ht="15" customHeight="1" hidden="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row>
    <row r="84" ht="15" customHeight="1" hidden="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row>
    <row r="85" ht="15" customHeight="1" hidden="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row>
    <row r="86" ht="15" customHeight="1" hidden="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row>
    <row r="87" ht="15" customHeight="1" hidden="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row>
    <row r="88" ht="15" customHeight="1" hidden="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row>
    <row r="89" ht="15" customHeight="1" hidden="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row>
    <row r="90" ht="15" customHeight="1" hidden="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row>
    <row r="91" ht="15" customHeight="1" hidden="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row>
    <row r="92" ht="15" customHeight="1" hidden="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row>
    <row r="93" ht="15" customHeight="1" hidden="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row>
    <row r="94" ht="15" customHeight="1" hidden="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row>
    <row r="95" ht="15" customHeight="1" hidden="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row>
    <row r="96" ht="15" customHeight="1" hidden="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row>
    <row r="97" ht="15" customHeight="1" hidden="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row>
    <row r="98" ht="15" customHeight="1" hidden="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row>
    <row r="99" ht="15" customHeight="1" hidden="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row>
    <row r="100" ht="15" customHeight="1" hidden="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row>
    <row r="101" ht="15" customHeight="1" hidden="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row>
    <row r="102" ht="15" customHeight="1" hidden="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row>
    <row r="103" ht="15" customHeight="1" hidden="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row>
    <row r="104" ht="15" customHeight="1" hidden="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row>
    <row r="105" ht="15" customHeight="1" hidden="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row>
    <row r="106" ht="15" customHeight="1" hidden="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row>
    <row r="107" ht="15" customHeight="1" hidden="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row>
    <row r="108" ht="15" customHeight="1" hidden="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row>
    <row r="109" ht="15" customHeight="1" hidden="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row>
    <row r="110" ht="15" customHeight="1" hidden="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row>
    <row r="111" ht="15" customHeight="1" hidden="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row>
    <row r="112" ht="15" customHeight="1" hidden="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row>
    <row r="113" ht="15" customHeight="1" hidden="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row>
    <row r="114" ht="15" customHeight="1" hidden="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row>
    <row r="115" ht="15" customHeight="1" hidden="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row>
    <row r="116" ht="15" customHeight="1" hidden="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row>
    <row r="117" ht="15" customHeight="1" hidden="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row>
    <row r="118" ht="15" customHeight="1" hidden="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row>
    <row r="119" ht="15" customHeight="1" hidden="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row>
    <row r="120" ht="15" customHeight="1" hidden="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row>
    <row r="121" ht="15" customHeight="1" hidden="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row>
    <row r="122" ht="15" customHeight="1" hidden="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row>
    <row r="123" ht="15" customHeight="1" hidden="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row>
    <row r="124" ht="15" customHeight="1" hidden="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row>
    <row r="125" ht="15" customHeight="1" hidden="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row>
    <row r="126" ht="15" customHeight="1" hidden="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row>
    <row r="127" ht="15" customHeight="1" hidden="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row>
    <row r="128" ht="15" customHeight="1" hidden="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row>
    <row r="129" ht="15" customHeight="1" hidden="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row>
    <row r="130" ht="15" customHeight="1" hidden="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row>
    <row r="131" ht="15" customHeight="1" hidden="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row>
    <row r="132" ht="15" customHeight="1" hidden="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row>
    <row r="133" ht="15" customHeight="1" hidden="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row>
    <row r="134" ht="15" customHeight="1" hidden="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row>
    <row r="135" ht="15" customHeight="1" hidden="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row>
    <row r="136" ht="15" customHeight="1" hidden="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row>
    <row r="137" ht="15" customHeight="1" hidden="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row>
    <row r="138" ht="15" customHeight="1" hidden="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row>
    <row r="139" ht="15" customHeight="1" hidden="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row>
    <row r="140" ht="15" customHeight="1" hidden="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row>
    <row r="141" ht="15" customHeight="1" hidden="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row>
    <row r="142" ht="15" customHeight="1" hidden="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row>
    <row r="143" ht="15" customHeight="1" hidden="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row>
    <row r="144" ht="15" customHeight="1" hidden="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row>
    <row r="145" ht="15" customHeight="1" hidden="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row>
    <row r="146" ht="15" customHeight="1" hidden="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row>
    <row r="147" ht="15" customHeight="1" hidden="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row>
    <row r="148" ht="15" customHeight="1" hidden="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row>
    <row r="149" ht="15" customHeight="1" hidden="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row>
    <row r="150" ht="15" customHeight="1" hidden="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row>
    <row r="151" ht="15" customHeight="1" hidden="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row>
    <row r="152" ht="15" customHeight="1" hidden="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row>
    <row r="153" ht="15" customHeight="1" hidden="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row>
    <row r="154" ht="15" customHeight="1" hidden="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row>
    <row r="155" ht="15" customHeight="1" hidden="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row>
    <row r="156" ht="15" customHeight="1" hidden="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row>
    <row r="157" ht="15" customHeight="1" hidden="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row>
    <row r="158" ht="15" customHeight="1" hidden="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row>
    <row r="159" ht="15" customHeight="1" hidden="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row>
    <row r="160" ht="15" customHeight="1" hidden="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row>
    <row r="161" ht="15" customHeight="1" hidden="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row>
    <row r="162" ht="15" customHeight="1" hidden="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row>
    <row r="163" ht="15" customHeight="1" hidden="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row>
    <row r="164" ht="15" customHeight="1" hidden="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row>
    <row r="165" ht="15" customHeight="1" hidden="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row>
    <row r="166" ht="15" customHeight="1" hidden="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row>
    <row r="167" ht="15" customHeight="1" hidden="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row>
    <row r="168" ht="15" customHeight="1" hidden="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row>
    <row r="169" ht="15" customHeight="1" hidden="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row>
    <row r="170" ht="15" customHeight="1" hidden="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row>
    <row r="171" ht="15" customHeight="1" hidden="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row>
    <row r="172" ht="15" customHeight="1" hidden="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row>
    <row r="173" ht="15" customHeight="1" hidden="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row>
    <row r="174" ht="15" customHeight="1" hidden="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row>
    <row r="175" ht="15" customHeight="1" hidden="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row>
    <row r="176" ht="15" customHeight="1" hidden="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row>
    <row r="177" ht="15" customHeight="1" hidden="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row>
    <row r="178" ht="15" customHeight="1" hidden="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row>
    <row r="179" ht="15" customHeight="1" hidden="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row>
    <row r="180" ht="15" customHeight="1" hidden="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row>
    <row r="181" ht="15" customHeight="1" hidden="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row>
    <row r="182" ht="15" customHeight="1" hidden="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row>
    <row r="183" ht="15" customHeight="1" hidden="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row>
    <row r="184" ht="15" customHeight="1" hidden="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row>
    <row r="185" ht="15" customHeight="1" hidden="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row>
    <row r="186" ht="15" customHeight="1" hidden="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row>
    <row r="187" ht="15" customHeight="1" hidden="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row>
    <row r="188" ht="15" customHeight="1" hidden="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row>
    <row r="189" ht="15" customHeight="1" hidden="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row>
    <row r="190" ht="15" customHeight="1" hidden="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row>
    <row r="191" ht="15" customHeight="1" hidden="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row>
    <row r="192" ht="15" customHeight="1" hidden="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row>
    <row r="193" ht="15" customHeight="1" hidden="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row>
    <row r="194" ht="15" customHeight="1" hidden="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row>
    <row r="195" ht="15" customHeight="1" hidden="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row>
    <row r="196" ht="15" customHeight="1" hidden="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row>
    <row r="197" ht="15" customHeight="1" hidden="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row>
    <row r="198" ht="15" customHeight="1" hidden="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row>
    <row r="199" ht="15" customHeight="1" hidden="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row>
    <row r="200" ht="15" customHeight="1" hidden="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row>
    <row r="201" ht="15" customHeight="1" hidden="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row>
    <row r="202" ht="15" customHeight="1" hidden="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row>
    <row r="203" ht="15" customHeight="1" hidden="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row>
    <row r="204" ht="15" customHeight="1" hidden="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row>
    <row r="205" ht="15" customHeight="1" hidden="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row>
    <row r="206" ht="15" customHeight="1" hidden="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row>
    <row r="207" ht="15" customHeight="1" hidden="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row>
    <row r="208" ht="15" customHeight="1" hidden="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row>
    <row r="209" ht="15" customHeight="1" hidden="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row>
    <row r="210" ht="15" customHeight="1" hidden="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row>
    <row r="211" ht="15" customHeight="1" hidden="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row>
    <row r="212" ht="15" customHeight="1" hidden="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row>
    <row r="213" ht="15" customHeight="1" hidden="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row>
    <row r="214" ht="15" customHeight="1" hidden="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row>
    <row r="215" ht="15" customHeight="1" hidden="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row>
    <row r="216" ht="15" customHeight="1" hidden="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row>
    <row r="217" ht="15" customHeight="1" hidden="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row>
    <row r="218" ht="15" customHeight="1" hidden="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row>
    <row r="219" ht="15" customHeight="1" hidden="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row>
    <row r="220" ht="15" customHeight="1" hidden="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row>
    <row r="221" ht="15" customHeight="1" hidden="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row>
    <row r="222" ht="15" customHeight="1" hidden="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row>
    <row r="223" ht="15" customHeight="1" hidden="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row>
    <row r="224" ht="15" customHeight="1" hidden="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row>
    <row r="225" ht="15" customHeight="1" hidden="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row>
    <row r="226" ht="15" customHeight="1" hidden="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row>
    <row r="227" ht="15" customHeight="1" hidden="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row>
    <row r="228" ht="15" customHeight="1" hidden="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row>
    <row r="229" ht="15" customHeight="1" hidden="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row>
    <row r="230" ht="15" customHeight="1" hidden="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row>
    <row r="231" ht="15" customHeight="1" hidden="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row>
    <row r="232" ht="15" customHeight="1" hidden="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row>
    <row r="233" ht="15" customHeight="1" hidden="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row>
    <row r="234" ht="15" customHeight="1" hidden="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row>
    <row r="235" ht="15" customHeight="1" hidden="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row>
    <row r="236" ht="15" customHeight="1" hidden="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row>
    <row r="237" ht="15" customHeight="1" hidden="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row>
    <row r="238" ht="15" customHeight="1" hidden="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row>
    <row r="239" ht="15" customHeight="1" hidden="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row>
    <row r="240" ht="15" customHeight="1" hidden="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row>
    <row r="241" ht="15" customHeight="1" hidden="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row>
    <row r="242" ht="15" customHeight="1" hidden="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row>
    <row r="243" ht="15" customHeight="1" hidden="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row>
    <row r="244" ht="15" customHeight="1" hidden="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row>
    <row r="245" ht="15" customHeight="1" hidden="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row>
    <row r="246" ht="15" customHeight="1" hidden="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row>
    <row r="247" ht="15" customHeight="1" hidden="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row>
    <row r="248" ht="15" customHeight="1" hidden="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row>
    <row r="249" ht="15" customHeight="1" hidden="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row>
    <row r="250" ht="15" customHeight="1" hidden="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row>
    <row r="251" ht="15" customHeight="1" hidden="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row>
    <row r="252" ht="15" customHeight="1" hidden="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row>
    <row r="253" ht="15" customHeight="1" hidden="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row>
    <row r="254" ht="15" customHeight="1" hidden="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row>
    <row r="255" ht="15" customHeight="1" hidden="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row>
    <row r="256" ht="15" customHeight="1" hidden="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row>
    <row r="257" ht="15" customHeight="1" hidden="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row>
    <row r="258" ht="15" customHeight="1" hidden="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row>
    <row r="259" ht="15" customHeight="1" hidden="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row>
    <row r="260" ht="15" customHeight="1" hidden="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row>
    <row r="261" ht="15" customHeight="1" hidden="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row>
    <row r="262" ht="15" customHeight="1" hidden="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row>
    <row r="263" ht="15" customHeight="1" hidden="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row>
    <row r="264" ht="15" customHeight="1" hidden="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row>
    <row r="265" ht="15" customHeight="1" hidden="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row>
    <row r="266" ht="15" customHeight="1" hidden="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row>
    <row r="267" ht="15" customHeight="1" hidden="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row>
    <row r="268" ht="15" customHeight="1" hidden="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row>
    <row r="269" ht="15" customHeight="1" hidden="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row>
    <row r="270" ht="15" customHeight="1" hidden="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row>
    <row r="271" ht="15" customHeight="1" hidden="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row>
    <row r="272" ht="15" customHeight="1" hidden="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row>
    <row r="273" ht="15" customHeight="1" hidden="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row>
    <row r="274" ht="15" customHeight="1" hidden="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row>
    <row r="275" ht="15" customHeight="1" hidden="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row>
    <row r="276" ht="15" customHeight="1" hidden="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row>
    <row r="277" ht="15" customHeight="1" hidden="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row>
    <row r="278" ht="15" customHeight="1" hidden="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row>
    <row r="279" ht="15" customHeight="1" hidden="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row>
    <row r="280" ht="15" customHeight="1" hidden="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row>
    <row r="281" ht="15" customHeight="1" hidden="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row>
    <row r="282" ht="15" customHeight="1" hidden="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row>
    <row r="283" ht="15" customHeight="1" hidden="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row>
    <row r="284" ht="15" customHeight="1" hidden="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row>
    <row r="285" ht="15" customHeight="1" hidden="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row>
    <row r="286" ht="15" customHeight="1" hidden="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row>
    <row r="287" ht="15" customHeight="1" hidden="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row>
    <row r="288" ht="15" customHeight="1" hidden="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row>
    <row r="289" ht="15" customHeight="1" hidden="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row>
    <row r="290" ht="15" customHeight="1" hidden="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row>
    <row r="291" ht="15" customHeight="1" hidden="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row>
    <row r="292" ht="15" customHeight="1" hidden="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row>
    <row r="293" ht="15" customHeight="1" hidden="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row>
    <row r="294" ht="15" customHeight="1" hidden="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row>
    <row r="295" ht="15" customHeight="1" hidden="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row>
    <row r="296" ht="15" customHeight="1" hidden="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row>
    <row r="297" ht="15" customHeight="1" hidden="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row>
    <row r="298" ht="15" customHeight="1" hidden="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row>
    <row r="299" ht="15" customHeight="1" hidden="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row>
    <row r="300" ht="15" customHeight="1" hidden="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row>
    <row r="301" ht="15" customHeight="1" hidden="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row>
    <row r="302" ht="15" customHeight="1" hidden="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row>
    <row r="303" ht="15" customHeight="1" hidden="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row>
    <row r="304" ht="15" customHeight="1" hidden="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row>
    <row r="305" ht="15" customHeight="1" hidden="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row>
    <row r="306" ht="15" customHeight="1" hidden="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row>
    <row r="307" ht="15" customHeight="1" hidden="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row>
    <row r="308" ht="15" customHeight="1" hidden="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row>
    <row r="309" ht="15" customHeight="1" hidden="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row>
    <row r="310" ht="15" customHeight="1" hidden="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row>
    <row r="311" ht="15" customHeight="1" hidden="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row>
    <row r="312" ht="15" customHeight="1" hidden="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row>
    <row r="313" ht="15" customHeight="1" hidden="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row>
    <row r="314" ht="15" customHeight="1" hidden="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row>
    <row r="315" ht="15" customHeight="1" hidden="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row>
    <row r="316" ht="15" customHeight="1" hidden="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row>
    <row r="317" ht="15" customHeight="1" hidden="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row>
    <row r="318" ht="15" customHeight="1" hidden="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row>
    <row r="319" ht="15" customHeight="1" hidden="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row>
    <row r="320" ht="15" customHeight="1" hidden="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row>
    <row r="321" ht="15" customHeight="1" hidden="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row>
    <row r="322" ht="15" customHeight="1" hidden="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row>
    <row r="323" ht="15" customHeight="1" hidden="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row>
    <row r="324" ht="15" customHeight="1" hidden="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row>
    <row r="325" ht="15" customHeight="1" hidden="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row>
    <row r="326" ht="15" customHeight="1" hidden="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row>
    <row r="327" ht="15" customHeight="1" hidden="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row>
    <row r="328" ht="15" customHeight="1" hidden="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row>
    <row r="329" ht="15" customHeight="1" hidden="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row>
    <row r="330" ht="15" customHeight="1" hidden="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row>
    <row r="331" ht="15" customHeight="1" hidden="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row>
    <row r="332" ht="15" customHeight="1" hidden="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row>
    <row r="333" ht="15" customHeight="1" hidden="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row>
    <row r="334" ht="15" customHeight="1" hidden="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row>
    <row r="335" ht="15" customHeight="1" hidden="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row>
    <row r="336" ht="15" customHeight="1" hidden="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row>
    <row r="337" ht="15" customHeight="1" hidden="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row>
    <row r="338" ht="15" customHeight="1" hidden="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row>
    <row r="339" ht="15" customHeight="1" hidden="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row>
    <row r="340" ht="15" customHeight="1" hidden="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row>
    <row r="341" ht="15" customHeight="1" hidden="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row>
    <row r="342" ht="15" customHeight="1" hidden="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row>
    <row r="343" ht="15" customHeight="1" hidden="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row>
    <row r="344" ht="15" customHeight="1" hidden="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row>
    <row r="345" ht="15" customHeight="1" hidden="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row>
    <row r="346" ht="15" customHeight="1" hidden="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row>
    <row r="347" ht="15" customHeight="1" hidden="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row>
    <row r="348" ht="15" customHeight="1" hidden="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row>
    <row r="349" ht="15" customHeight="1" hidden="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row>
    <row r="350" ht="15" customHeight="1" hidden="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row>
    <row r="351" ht="15" customHeight="1" hidden="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row>
    <row r="352" ht="15" customHeight="1" hidden="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row>
    <row r="353" ht="15" customHeight="1" hidden="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row>
    <row r="354" ht="15" customHeight="1" hidden="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row>
    <row r="355" ht="15" customHeight="1" hidden="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row>
    <row r="356" ht="15" customHeight="1" hidden="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row>
    <row r="357" ht="15" customHeight="1" hidden="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row>
    <row r="358" ht="15" customHeight="1" hidden="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row>
    <row r="359" ht="15" customHeight="1" hidden="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row>
    <row r="360" ht="15" customHeight="1" hidden="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row>
    <row r="361" ht="15" customHeight="1" hidden="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row>
    <row r="362" ht="15" customHeight="1" hidden="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row>
    <row r="363" ht="15" customHeight="1" hidden="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row>
    <row r="364" ht="15" customHeight="1" hidden="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row>
    <row r="365" ht="15" customHeight="1" hidden="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row>
    <row r="366" ht="15" customHeight="1" hidden="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row>
    <row r="367" ht="15" customHeight="1" hidden="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row>
    <row r="368" ht="15" customHeight="1" hidden="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row>
    <row r="369" ht="15" customHeight="1" hidden="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row>
    <row r="370" ht="15" customHeight="1" hidden="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row>
    <row r="371" ht="15" customHeight="1" hidden="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row>
    <row r="372" ht="15" customHeight="1" hidden="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row>
    <row r="373" ht="15" customHeight="1" hidden="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row>
    <row r="374" ht="15" customHeight="1" hidden="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row>
    <row r="375" ht="15" customHeight="1" hidden="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row>
    <row r="376" ht="15" customHeight="1" hidden="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row>
    <row r="377" ht="15" customHeight="1" hidden="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row>
    <row r="378" ht="15" customHeight="1" hidden="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row>
    <row r="379" ht="15" customHeight="1" hidden="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row>
    <row r="380" ht="15" customHeight="1" hidden="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row>
    <row r="381" ht="15" customHeight="1" hidden="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row>
    <row r="382" ht="15" customHeight="1" hidden="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row>
    <row r="383" ht="15" customHeight="1" hidden="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row>
    <row r="384" ht="15" customHeight="1" hidden="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row>
    <row r="385" ht="15" customHeight="1" hidden="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row>
    <row r="386" ht="15" customHeight="1" hidden="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row>
    <row r="387" ht="15" customHeight="1" hidden="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row>
    <row r="388" ht="15" customHeight="1" hidden="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row>
    <row r="389" ht="15" customHeight="1" hidden="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row>
    <row r="390" ht="15" customHeight="1" hidden="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row>
    <row r="391" ht="15" customHeight="1" hidden="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row>
    <row r="392" ht="15" customHeight="1" hidden="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row>
    <row r="393" ht="15" customHeight="1" hidden="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row>
    <row r="394" ht="15" customHeight="1" hidden="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row>
    <row r="395" ht="15" customHeight="1" hidden="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row>
    <row r="396" ht="15" customHeight="1" hidden="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row>
    <row r="397" ht="15" customHeight="1" hidden="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row>
    <row r="398" ht="15" customHeight="1" hidden="1">
      <c r="A398" s="86">
        <v>42939</v>
      </c>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row>
    <row r="399" ht="15" customHeight="1" hidden="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row>
    <row r="400" ht="15" customHeight="1" hidden="1">
      <c r="A400" s="86">
        <v>42969</v>
      </c>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row>
    <row r="401" ht="15" customHeight="1" hidden="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row>
    <row r="402" ht="15" customHeight="1" hidden="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row>
    <row r="403" ht="15" customHeight="1" hidden="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row>
    <row r="404" ht="15" customHeight="1" hidden="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row>
    <row r="405" ht="15" customHeight="1" hidden="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row>
    <row r="406" ht="15" customHeight="1" hidden="1">
      <c r="A406" s="86">
        <v>40665</v>
      </c>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row>
    <row r="407" ht="16"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row>
  </sheetData>
  <pageMargins left="0.75" right="0.75" top="1" bottom="1" header="0.5" footer="0.5"/>
  <pageSetup firstPageNumber="1" fitToHeight="1" fitToWidth="1" scale="52" useFirstPageNumber="0" orientation="landscape" pageOrder="downThenOver"/>
  <headerFooter>
    <oddFooter>&amp;L&amp;"Helvetica,Regular"&amp;12&amp;K000000	&amp;P</oddFooter>
  </headerFooter>
  <drawing r:id="rId1"/>
  <legacyDrawing r:id="rId2"/>
</worksheet>
</file>

<file path=xl/worksheets/sheet32.xml><?xml version="1.0" encoding="utf-8"?>
<worksheet xmlns:r="http://schemas.openxmlformats.org/officeDocument/2006/relationships" xmlns="http://schemas.openxmlformats.org/spreadsheetml/2006/main">
  <dimension ref="A1:H422"/>
  <sheetViews>
    <sheetView workbookViewId="0" showGridLines="0" defaultGridColor="1"/>
  </sheetViews>
  <sheetFormatPr defaultColWidth="8.625" defaultRowHeight="15" customHeight="1" outlineLevelRow="0" outlineLevelCol="0"/>
  <cols>
    <col min="1" max="1" width="20.625" style="1146" customWidth="1"/>
    <col min="2" max="2" width="9.25" style="1146" customWidth="1"/>
    <col min="3" max="3" width="9.25" style="1146" customWidth="1"/>
    <col min="4" max="4" width="9.25" style="1146" customWidth="1"/>
    <col min="5" max="5" width="9.25" style="1146" customWidth="1"/>
    <col min="6" max="6" width="9.25" style="1146" customWidth="1"/>
    <col min="7" max="7" width="11.875" style="1146" customWidth="1"/>
    <col min="8" max="8" width="8.625" style="1146" customWidth="1"/>
    <col min="9" max="256" width="8.625" style="1146" customWidth="1"/>
  </cols>
  <sheetData>
    <row r="1" ht="18" customHeight="1">
      <c r="A1" t="s" s="1147">
        <v>1079</v>
      </c>
      <c r="B1" s="1112"/>
      <c r="C1" s="1112"/>
      <c r="D1" s="1112"/>
      <c r="E1" s="1148">
        <f>'Project Information'!H27</f>
        <v>0.045</v>
      </c>
      <c r="F1" s="1112"/>
      <c r="G1" s="1112"/>
      <c r="H1" s="86"/>
    </row>
    <row r="2" ht="18" customHeight="1">
      <c r="A2" t="s" s="1147">
        <v>1080</v>
      </c>
      <c r="B2" s="1112"/>
      <c r="C2" s="1112"/>
      <c r="D2" s="1112"/>
      <c r="E2" s="1149">
        <v>0</v>
      </c>
      <c r="F2" s="1112"/>
      <c r="G2" s="1112"/>
      <c r="H2" s="86"/>
    </row>
    <row r="3" ht="18" customHeight="1">
      <c r="A3" t="s" s="1147">
        <v>1081</v>
      </c>
      <c r="B3" s="1112"/>
      <c r="C3" s="1112"/>
      <c r="D3" s="1112"/>
      <c r="E3" s="1149">
        <v>0</v>
      </c>
      <c r="F3" s="1112"/>
      <c r="G3" s="1112"/>
      <c r="H3" s="86"/>
    </row>
    <row r="4" ht="18" customHeight="1">
      <c r="A4" t="s" s="1147">
        <v>1082</v>
      </c>
      <c r="B4" s="1112"/>
      <c r="C4" s="1112"/>
      <c r="D4" s="1112"/>
      <c r="E4" s="1150">
        <f>'Project Information'!H28</f>
        <v>50</v>
      </c>
      <c r="F4" s="1112"/>
      <c r="G4" s="1112"/>
      <c r="H4" s="86"/>
    </row>
    <row r="5" ht="18" customHeight="1">
      <c r="A5" t="s" s="1147">
        <v>1083</v>
      </c>
      <c r="B5" s="1112"/>
      <c r="C5" s="1112"/>
      <c r="D5" s="1112"/>
      <c r="E5" s="1151">
        <f>-IF('Summary'!D56&lt;0,'Summary'!D56,0)</f>
        <v>524264.325</v>
      </c>
      <c r="F5" s="1112"/>
      <c r="G5" s="1112"/>
      <c r="H5" s="86"/>
    </row>
    <row r="6" ht="18" customHeight="1">
      <c r="A6" t="s" s="1147">
        <v>1084</v>
      </c>
      <c r="B6" s="1112"/>
      <c r="C6" s="1112"/>
      <c r="D6" s="1112"/>
      <c r="E6" s="1152">
        <v>0</v>
      </c>
      <c r="F6" s="1112"/>
      <c r="G6" s="1112"/>
      <c r="H6" s="86"/>
    </row>
    <row r="7" ht="18" customHeight="1">
      <c r="A7" t="s" s="1147">
        <v>1085</v>
      </c>
      <c r="B7" s="1112"/>
      <c r="C7" s="1112"/>
      <c r="D7" s="1112"/>
      <c r="E7" s="1153">
        <f>IF(E6=0,0,ROUND(1000*(E1-E2)/(1-((1+E2)/(1+E1))^E4),5))</f>
        <v>0</v>
      </c>
      <c r="F7" s="1112"/>
      <c r="G7" s="1112"/>
      <c r="H7" s="86"/>
    </row>
    <row r="8" ht="18" customHeight="1">
      <c r="A8" t="s" s="1147">
        <v>1086</v>
      </c>
      <c r="B8" s="1112"/>
      <c r="C8" s="1112"/>
      <c r="D8" s="1112"/>
      <c r="E8" s="1154">
        <f>IF(E6=0,0,ROUND(1-(E7/(1000*(((1+E1)^E4*E1)/((1+E1)^E4-1)))),4))</f>
        <v>0</v>
      </c>
      <c r="F8" s="1112"/>
      <c r="G8" s="1112"/>
      <c r="H8" s="86"/>
    </row>
    <row r="9" ht="18" customHeight="1">
      <c r="A9" t="s" s="1147">
        <v>1087</v>
      </c>
      <c r="B9" s="1112"/>
      <c r="C9" s="1112"/>
      <c r="D9" s="1112"/>
      <c r="E9" s="1155">
        <f>IF(E6=1,ROUND(E5*E7/1000,2),ROUND(((1+E1)^E4*E1)/((1+E1)^E4-1)*E5,2))</f>
        <v>26528.9</v>
      </c>
      <c r="F9" s="1112"/>
      <c r="G9" s="1112"/>
      <c r="H9" s="86"/>
    </row>
    <row r="10" ht="18" customHeight="1">
      <c r="A10" t="s" s="1147">
        <v>1088</v>
      </c>
      <c r="B10" s="1154"/>
      <c r="C10" s="1156"/>
      <c r="D10" s="1112"/>
      <c r="E10" s="1112">
        <v>2</v>
      </c>
      <c r="F10" s="1157"/>
      <c r="G10" s="1112"/>
      <c r="H10" s="86"/>
    </row>
    <row r="11" ht="18" customHeight="1">
      <c r="A11" s="1112"/>
      <c r="B11" s="1154"/>
      <c r="C11" s="1156"/>
      <c r="D11" s="1112"/>
      <c r="E11" t="s" s="1147">
        <v>43</v>
      </c>
      <c r="F11" s="1112"/>
      <c r="G11" s="1112"/>
      <c r="H11" s="86"/>
    </row>
    <row r="12" ht="18" customHeight="1">
      <c r="A12" s="1112"/>
      <c r="B12" s="1112"/>
      <c r="C12" t="s" s="1158">
        <v>1089</v>
      </c>
      <c r="D12" t="s" s="1158">
        <v>1090</v>
      </c>
      <c r="E12" s="1112"/>
      <c r="F12" s="1112"/>
      <c r="G12" t="s" s="1158">
        <v>1091</v>
      </c>
      <c r="H12" s="1159"/>
    </row>
    <row r="13" ht="18" customHeight="1">
      <c r="A13" t="s" s="1147">
        <v>826</v>
      </c>
      <c r="B13" t="s" s="1158">
        <v>1092</v>
      </c>
      <c r="C13" s="1160">
        <f>E1</f>
        <v>0.045</v>
      </c>
      <c r="D13" s="1160">
        <f>E2</f>
        <v>0</v>
      </c>
      <c r="E13" t="s" s="1158">
        <v>961</v>
      </c>
      <c r="F13" t="s" s="1158">
        <v>1093</v>
      </c>
      <c r="G13" t="s" s="1158">
        <v>1094</v>
      </c>
      <c r="H13" s="1159"/>
    </row>
    <row r="14" ht="18" customHeight="1">
      <c r="A14" s="1112"/>
      <c r="B14" s="1154"/>
      <c r="C14" s="1156"/>
      <c r="D14" s="1154"/>
      <c r="E14" s="1157"/>
      <c r="F14" s="1157"/>
      <c r="G14" s="1112"/>
      <c r="H14" s="86"/>
    </row>
    <row r="15" ht="18" customHeight="1">
      <c r="A15" s="1112">
        <v>1</v>
      </c>
      <c r="B15" s="1155">
        <f>E5</f>
        <v>524264.325</v>
      </c>
      <c r="C15" s="1155">
        <f>ROUND(B15*$C$13,$E$10)</f>
        <v>23591.89</v>
      </c>
      <c r="D15" s="1155">
        <f>E9</f>
        <v>26528.9</v>
      </c>
      <c r="E15" s="1155">
        <f>B15+C15-D15</f>
        <v>521327.3149999999</v>
      </c>
      <c r="F15" s="1155">
        <f>SUM(E15:E15)</f>
        <v>521327.3149999999</v>
      </c>
      <c r="G15" s="1155">
        <f>D15-C15</f>
        <v>2937.010000000002</v>
      </c>
      <c r="H15" s="1161"/>
    </row>
    <row r="16" ht="18" customHeight="1">
      <c r="A16" s="1112">
        <f>A15+1</f>
        <v>2</v>
      </c>
      <c r="B16" s="1155">
        <f>IF(A16&gt;$E$4,0,F15)</f>
        <v>521327.3149999999</v>
      </c>
      <c r="C16" s="1155">
        <f>ROUND(B16*$C$13,$E$10)</f>
        <v>23459.73</v>
      </c>
      <c r="D16" s="1155">
        <f>IF(A16&gt;$E$4,0,ROUND(D15*(1+$D$13),2))</f>
        <v>26528.9</v>
      </c>
      <c r="E16" s="1155">
        <f>B16+C16-D16</f>
        <v>518258.1449999999</v>
      </c>
      <c r="F16" s="1155">
        <f>SUM(E16:E16)</f>
        <v>518258.1449999999</v>
      </c>
      <c r="G16" s="1155">
        <f>D16-C16</f>
        <v>3069.170000000002</v>
      </c>
      <c r="H16" s="86"/>
    </row>
    <row r="17" ht="18" customHeight="1">
      <c r="A17" s="1112">
        <f>A16+1</f>
        <v>3</v>
      </c>
      <c r="B17" s="1155">
        <f>IF(A17&gt;$E$4,0,F16)</f>
        <v>518258.1449999999</v>
      </c>
      <c r="C17" s="1155">
        <f>ROUND(B17*$C$13,$E$10)</f>
        <v>23321.62</v>
      </c>
      <c r="D17" s="1155">
        <f>IF(A17&gt;$E$4,0,ROUND(D16*(1+$D$13),2))</f>
        <v>26528.9</v>
      </c>
      <c r="E17" s="1155">
        <f>B17+C17-D17</f>
        <v>515050.8649999999</v>
      </c>
      <c r="F17" s="1155">
        <f>SUM(E17:E17)</f>
        <v>515050.8649999999</v>
      </c>
      <c r="G17" s="1155">
        <f>D17-C17</f>
        <v>3207.280000000002</v>
      </c>
      <c r="H17" s="86"/>
    </row>
    <row r="18" ht="18" customHeight="1">
      <c r="A18" s="1112">
        <f>A17+1</f>
        <v>4</v>
      </c>
      <c r="B18" s="1155">
        <f>IF(A18&gt;$E$4,0,F17)</f>
        <v>515050.8649999999</v>
      </c>
      <c r="C18" s="1155">
        <f>ROUND(B18*$C$13,$E$10)</f>
        <v>23177.29</v>
      </c>
      <c r="D18" s="1155">
        <f>IF(A18&gt;$E$4,0,ROUND(D17*(1+$D$13),2))</f>
        <v>26528.9</v>
      </c>
      <c r="E18" s="1155">
        <f>B18+C18-D18</f>
        <v>511699.2549999999</v>
      </c>
      <c r="F18" s="1155">
        <f>SUM(E18:E18)</f>
        <v>511699.2549999999</v>
      </c>
      <c r="G18" s="1155">
        <f>D18-C18</f>
        <v>3351.610000000001</v>
      </c>
      <c r="H18" s="86"/>
    </row>
    <row r="19" ht="18" customHeight="1">
      <c r="A19" s="1112">
        <f>A18+1</f>
        <v>5</v>
      </c>
      <c r="B19" s="1155">
        <f>IF(A19&gt;$E$4,0,F18)</f>
        <v>511699.2549999999</v>
      </c>
      <c r="C19" s="1155">
        <f>ROUND(B19*$C$13,$E$10)</f>
        <v>23026.47</v>
      </c>
      <c r="D19" s="1155">
        <f>IF(A19&gt;$E$4,0,ROUND(D18*(1+$D$13),2))</f>
        <v>26528.9</v>
      </c>
      <c r="E19" s="1155">
        <f>B19+C19-D19</f>
        <v>508196.8249999998</v>
      </c>
      <c r="F19" s="1155">
        <f>SUM(E19:E19)</f>
        <v>508196.8249999998</v>
      </c>
      <c r="G19" s="1155">
        <f>D19-C19</f>
        <v>3502.43</v>
      </c>
      <c r="H19" s="86"/>
    </row>
    <row r="20" ht="18" customHeight="1">
      <c r="A20" s="1112">
        <f>A19+1</f>
        <v>6</v>
      </c>
      <c r="B20" s="1155">
        <f>IF(A20&gt;$E$4,0,F19)</f>
        <v>508196.8249999998</v>
      </c>
      <c r="C20" s="1155">
        <f>ROUND(B20*$C$13,$E$10)</f>
        <v>22868.86</v>
      </c>
      <c r="D20" s="1155">
        <f>IF(A20&gt;$E$4,0,ROUND(D19*(1+$D$13),2))</f>
        <v>26528.9</v>
      </c>
      <c r="E20" s="1155">
        <f>B20+C20-D20</f>
        <v>504536.7849999998</v>
      </c>
      <c r="F20" s="1155">
        <f>SUM(E20:E20)</f>
        <v>504536.7849999998</v>
      </c>
      <c r="G20" s="1155">
        <f>D20-C20</f>
        <v>3660.040000000001</v>
      </c>
      <c r="H20" s="86"/>
    </row>
    <row r="21" ht="18" customHeight="1">
      <c r="A21" s="1112">
        <f>A20+1</f>
        <v>7</v>
      </c>
      <c r="B21" s="1155">
        <f>IF(A21&gt;$E$4,0,F20)</f>
        <v>504536.7849999998</v>
      </c>
      <c r="C21" s="1155">
        <f>ROUND(B21*$C$13,$E$10)</f>
        <v>22704.16</v>
      </c>
      <c r="D21" s="1155">
        <f>IF(A21&gt;$E$4,0,ROUND(D20*(1+$D$13),2))</f>
        <v>26528.9</v>
      </c>
      <c r="E21" s="1155">
        <f>B21+C21-D21</f>
        <v>500712.0449999998</v>
      </c>
      <c r="F21" s="1155">
        <f>SUM(E21:E21)</f>
        <v>500712.0449999998</v>
      </c>
      <c r="G21" s="1155">
        <f>D21-C21</f>
        <v>3824.740000000002</v>
      </c>
      <c r="H21" s="86"/>
    </row>
    <row r="22" ht="18" customHeight="1">
      <c r="A22" s="1112">
        <f>A21+1</f>
        <v>8</v>
      </c>
      <c r="B22" s="1155">
        <f>IF(A22&gt;$E$4,0,F21)</f>
        <v>500712.0449999998</v>
      </c>
      <c r="C22" s="1155">
        <f>ROUND(B22*$C$13,$E$10)</f>
        <v>22532.04</v>
      </c>
      <c r="D22" s="1155">
        <f>IF(A22&gt;$E$4,0,ROUND(D21*(1+$D$13),2))</f>
        <v>26528.9</v>
      </c>
      <c r="E22" s="1155">
        <f>B22+C22-D22</f>
        <v>496715.1849999998</v>
      </c>
      <c r="F22" s="1155">
        <f>SUM(E22:E22)</f>
        <v>496715.1849999998</v>
      </c>
      <c r="G22" s="1155">
        <f>D22-C22</f>
        <v>3996.860000000001</v>
      </c>
      <c r="H22" s="86"/>
    </row>
    <row r="23" ht="18" customHeight="1">
      <c r="A23" s="1112">
        <f>A22+1</f>
        <v>9</v>
      </c>
      <c r="B23" s="1155">
        <f>IF(A23&gt;$E$4,0,F22)</f>
        <v>496715.1849999998</v>
      </c>
      <c r="C23" s="1155">
        <f>ROUND(B23*$C$13,$E$10)</f>
        <v>22352.18</v>
      </c>
      <c r="D23" s="1155">
        <f>IF(A23&gt;$E$4,0,ROUND(D22*(1+$D$13),2))</f>
        <v>26528.9</v>
      </c>
      <c r="E23" s="1155">
        <f>B23+C23-D23</f>
        <v>492538.4649999997</v>
      </c>
      <c r="F23" s="1155">
        <f>SUM(E23:E23)</f>
        <v>492538.4649999997</v>
      </c>
      <c r="G23" s="1155">
        <f>D23-C23</f>
        <v>4176.720000000001</v>
      </c>
      <c r="H23" s="86"/>
    </row>
    <row r="24" ht="18" customHeight="1">
      <c r="A24" s="1112">
        <f>A23+1</f>
        <v>10</v>
      </c>
      <c r="B24" s="1155">
        <f>IF(A24&gt;$E$4,0,F23)</f>
        <v>492538.4649999997</v>
      </c>
      <c r="C24" s="1155">
        <f>ROUND(B24*$C$13,$E$10)</f>
        <v>22164.23</v>
      </c>
      <c r="D24" s="1155">
        <f>IF(A24&gt;$E$4,0,ROUND(D23*(1+$D$13),2))</f>
        <v>26528.9</v>
      </c>
      <c r="E24" s="1155">
        <f>B24+C24-D24</f>
        <v>488173.7949999997</v>
      </c>
      <c r="F24" s="1155">
        <f>SUM(E24:E24)</f>
        <v>488173.7949999997</v>
      </c>
      <c r="G24" s="1155">
        <f>D24-C24</f>
        <v>4364.670000000002</v>
      </c>
      <c r="H24" s="86"/>
    </row>
    <row r="25" ht="18" customHeight="1">
      <c r="A25" s="1112">
        <f>A24+1</f>
        <v>11</v>
      </c>
      <c r="B25" s="1155">
        <f>IF(A25&gt;$E$4,0,F24)</f>
        <v>488173.7949999997</v>
      </c>
      <c r="C25" s="1155">
        <f>ROUND(B25*$C$13,$E$10)</f>
        <v>21967.82</v>
      </c>
      <c r="D25" s="1155">
        <f>IF(A25&gt;$E$4,0,ROUND(D24*(1+$D$13),2))</f>
        <v>26528.9</v>
      </c>
      <c r="E25" s="1155">
        <f>B25+C25-D25</f>
        <v>483612.7149999997</v>
      </c>
      <c r="F25" s="1155">
        <f>SUM(E25:E25)</f>
        <v>483612.7149999997</v>
      </c>
      <c r="G25" s="1155">
        <f>D25-C25</f>
        <v>4561.080000000002</v>
      </c>
      <c r="H25" s="86"/>
    </row>
    <row r="26" ht="18" customHeight="1">
      <c r="A26" s="1112">
        <f>A25+1</f>
        <v>12</v>
      </c>
      <c r="B26" s="1155">
        <f>IF(A26&gt;$E$4,0,F25)</f>
        <v>483612.7149999997</v>
      </c>
      <c r="C26" s="1155">
        <f>ROUND(B26*$C$13,$E$10)</f>
        <v>21762.57</v>
      </c>
      <c r="D26" s="1155">
        <f>IF(A26&gt;$E$4,0,ROUND(D25*(1+$D$13),2))</f>
        <v>26528.9</v>
      </c>
      <c r="E26" s="1155">
        <f>B26+C26-D26</f>
        <v>478846.3849999997</v>
      </c>
      <c r="F26" s="1155">
        <f>SUM(E26:E26)</f>
        <v>478846.3849999997</v>
      </c>
      <c r="G26" s="1155">
        <f>D26-C26</f>
        <v>4766.330000000002</v>
      </c>
      <c r="H26" s="86"/>
    </row>
    <row r="27" ht="18" customHeight="1">
      <c r="A27" s="1112">
        <f>A26+1</f>
        <v>13</v>
      </c>
      <c r="B27" s="1155">
        <f>IF(A27&gt;$E$4,0,F26)</f>
        <v>478846.3849999997</v>
      </c>
      <c r="C27" s="1155">
        <f>ROUND(B27*$C$13,$E$10)</f>
        <v>21548.09</v>
      </c>
      <c r="D27" s="1155">
        <f>IF(A27&gt;$E$4,0,ROUND(D26*(1+$D$13),2))</f>
        <v>26528.9</v>
      </c>
      <c r="E27" s="1155">
        <f>B27+C27-D27</f>
        <v>473865.5749999997</v>
      </c>
      <c r="F27" s="1155">
        <f>SUM(E27:E27)</f>
        <v>473865.5749999997</v>
      </c>
      <c r="G27" s="1155">
        <f>D27-C27</f>
        <v>4980.810000000001</v>
      </c>
      <c r="H27" s="86"/>
    </row>
    <row r="28" ht="18" customHeight="1">
      <c r="A28" s="1112">
        <f>A27+1</f>
        <v>14</v>
      </c>
      <c r="B28" s="1155">
        <f>IF(A28&gt;$E$4,0,F27)</f>
        <v>473865.5749999997</v>
      </c>
      <c r="C28" s="1155">
        <f>ROUND(B28*$C$13,$E$10)</f>
        <v>21323.95</v>
      </c>
      <c r="D28" s="1155">
        <f>IF(A28&gt;$E$4,0,ROUND(D27*(1+$D$13),2))</f>
        <v>26528.9</v>
      </c>
      <c r="E28" s="1155">
        <f>B28+C28-D28</f>
        <v>468660.6249999997</v>
      </c>
      <c r="F28" s="1155">
        <f>SUM(E28:E28)</f>
        <v>468660.6249999997</v>
      </c>
      <c r="G28" s="1155">
        <f>D28-C28</f>
        <v>5204.950000000001</v>
      </c>
      <c r="H28" s="86"/>
    </row>
    <row r="29" ht="18" customHeight="1">
      <c r="A29" s="1112">
        <f>A28+1</f>
        <v>15</v>
      </c>
      <c r="B29" s="1155">
        <f>IF(A29&gt;$E$4,0,F28)</f>
        <v>468660.6249999997</v>
      </c>
      <c r="C29" s="1155">
        <f>ROUND(B29*$C$13,$E$10)</f>
        <v>21089.73</v>
      </c>
      <c r="D29" s="1155">
        <f>IF(A29&gt;$E$4,0,ROUND(D28*(1+$D$13),2))</f>
        <v>26528.9</v>
      </c>
      <c r="E29" s="1155">
        <f>B29+C29-D29</f>
        <v>463221.4549999996</v>
      </c>
      <c r="F29" s="1155">
        <f>SUM(E29:E29)</f>
        <v>463221.4549999996</v>
      </c>
      <c r="G29" s="1155">
        <f>D29-C29</f>
        <v>5439.170000000002</v>
      </c>
      <c r="H29" s="86"/>
    </row>
    <row r="30" ht="18" customHeight="1">
      <c r="A30" s="1112">
        <f>A29+1</f>
        <v>16</v>
      </c>
      <c r="B30" s="1155">
        <f>IF(A30&gt;$E$4,0,F29)</f>
        <v>463221.4549999996</v>
      </c>
      <c r="C30" s="1155">
        <f>ROUND(B30*$C$13,$E$10)</f>
        <v>20844.97</v>
      </c>
      <c r="D30" s="1155">
        <f>IF(A30&gt;$E$4,0,ROUND(D29*(1+$D$13),2))</f>
        <v>26528.9</v>
      </c>
      <c r="E30" s="1155">
        <f>B30+C30-D30</f>
        <v>457537.5249999996</v>
      </c>
      <c r="F30" s="1155">
        <f>SUM(E30:E30)</f>
        <v>457537.5249999996</v>
      </c>
      <c r="G30" s="1155">
        <f>D30-C30</f>
        <v>5683.93</v>
      </c>
      <c r="H30" s="86"/>
    </row>
    <row r="31" ht="18" customHeight="1">
      <c r="A31" s="1112">
        <f>A30+1</f>
        <v>17</v>
      </c>
      <c r="B31" s="1155">
        <f>IF(A31&gt;$E$4,0,F30)</f>
        <v>457537.5249999996</v>
      </c>
      <c r="C31" s="1155">
        <f>ROUND(B31*$C$13,$E$10)</f>
        <v>20589.19</v>
      </c>
      <c r="D31" s="1155">
        <f>IF(A31&gt;$E$4,0,ROUND(D30*(1+$D$13),2))</f>
        <v>26528.9</v>
      </c>
      <c r="E31" s="1155">
        <f>B31+C31-D31</f>
        <v>451597.8149999995</v>
      </c>
      <c r="F31" s="1155">
        <f>SUM(E31:E31)</f>
        <v>451597.8149999995</v>
      </c>
      <c r="G31" s="1155">
        <f>D31-C31</f>
        <v>5939.710000000003</v>
      </c>
      <c r="H31" s="86"/>
    </row>
    <row r="32" ht="18" customHeight="1">
      <c r="A32" s="1112">
        <f>A31+1</f>
        <v>18</v>
      </c>
      <c r="B32" s="1155">
        <f>IF(A32&gt;$E$4,0,F31)</f>
        <v>451597.8149999995</v>
      </c>
      <c r="C32" s="1155">
        <f>ROUND(B32*$C$13,$E$10)</f>
        <v>20321.9</v>
      </c>
      <c r="D32" s="1155">
        <f>IF(A32&gt;$E$4,0,ROUND(D31*(1+$D$13),2))</f>
        <v>26528.9</v>
      </c>
      <c r="E32" s="1155">
        <f>B32+C32-D32</f>
        <v>445390.8149999995</v>
      </c>
      <c r="F32" s="1155">
        <f>SUM(E32:E32)</f>
        <v>445390.8149999995</v>
      </c>
      <c r="G32" s="1155">
        <f>D32-C32</f>
        <v>6207</v>
      </c>
      <c r="H32" s="86"/>
    </row>
    <row r="33" ht="18" customHeight="1">
      <c r="A33" s="1112">
        <f>A32+1</f>
        <v>19</v>
      </c>
      <c r="B33" s="1155">
        <f>IF(A33&gt;$E$4,0,F32)</f>
        <v>445390.8149999995</v>
      </c>
      <c r="C33" s="1155">
        <f>ROUND(B33*$C$13,$E$10)</f>
        <v>20042.59</v>
      </c>
      <c r="D33" s="1155">
        <f>IF(A33&gt;$E$4,0,ROUND(D32*(1+$D$13),2))</f>
        <v>26528.9</v>
      </c>
      <c r="E33" s="1155">
        <f>B33+C33-D33</f>
        <v>438904.5049999995</v>
      </c>
      <c r="F33" s="1155">
        <f>SUM(E33:E33)</f>
        <v>438904.5049999995</v>
      </c>
      <c r="G33" s="1155">
        <f>D33-C33</f>
        <v>6486.310000000001</v>
      </c>
      <c r="H33" s="86"/>
    </row>
    <row r="34" ht="18" customHeight="1">
      <c r="A34" s="1112">
        <f>A33+1</f>
        <v>20</v>
      </c>
      <c r="B34" s="1155">
        <f>IF(A34&gt;$E$4,0,F33)</f>
        <v>438904.5049999995</v>
      </c>
      <c r="C34" s="1155">
        <f>ROUND(B34*$C$13,$E$10)</f>
        <v>19750.7</v>
      </c>
      <c r="D34" s="1155">
        <f>IF(A34&gt;$E$4,0,ROUND(D33*(1+$D$13),2))</f>
        <v>26528.9</v>
      </c>
      <c r="E34" s="1155">
        <f>B34+C34-D34</f>
        <v>432126.3049999995</v>
      </c>
      <c r="F34" s="1155">
        <f>SUM(E34:E34)</f>
        <v>432126.3049999995</v>
      </c>
      <c r="G34" s="1155">
        <f>D34-C34</f>
        <v>6778.200000000001</v>
      </c>
      <c r="H34" s="86"/>
    </row>
    <row r="35" ht="18" customHeight="1">
      <c r="A35" s="1112">
        <f>A34+1</f>
        <v>21</v>
      </c>
      <c r="B35" s="1155">
        <f>IF(A35&gt;$E$4,0,F34)</f>
        <v>432126.3049999995</v>
      </c>
      <c r="C35" s="1155">
        <f>ROUND(B35*$C$13,$E$10)</f>
        <v>19445.68</v>
      </c>
      <c r="D35" s="1155">
        <f>IF(A35&gt;$E$4,0,ROUND(D34*(1+$D$13),2))</f>
        <v>26528.9</v>
      </c>
      <c r="E35" s="1155">
        <f>B35+C35-D35</f>
        <v>425043.0849999995</v>
      </c>
      <c r="F35" s="1155">
        <f>SUM(E35:E35)</f>
        <v>425043.0849999995</v>
      </c>
      <c r="G35" s="1155">
        <f>D35-C35</f>
        <v>7083.220000000001</v>
      </c>
      <c r="H35" s="86"/>
    </row>
    <row r="36" ht="18" customHeight="1">
      <c r="A36" s="1112">
        <f>A35+1</f>
        <v>22</v>
      </c>
      <c r="B36" s="1155">
        <f>IF(A36&gt;$E$4,0,F35)</f>
        <v>425043.0849999995</v>
      </c>
      <c r="C36" s="1155">
        <f>ROUND(B36*$C$13,$E$10)</f>
        <v>19126.94</v>
      </c>
      <c r="D36" s="1155">
        <f>IF(A36&gt;$E$4,0,ROUND(D35*(1+$D$13),2))</f>
        <v>26528.9</v>
      </c>
      <c r="E36" s="1155">
        <f>B36+C36-D36</f>
        <v>417641.1249999995</v>
      </c>
      <c r="F36" s="1155">
        <f>SUM(E36:E36)</f>
        <v>417641.1249999995</v>
      </c>
      <c r="G36" s="1155">
        <f>D36-C36</f>
        <v>7401.960000000003</v>
      </c>
      <c r="H36" s="86"/>
    </row>
    <row r="37" ht="18" customHeight="1">
      <c r="A37" s="1112">
        <f>A36+1</f>
        <v>23</v>
      </c>
      <c r="B37" s="1155">
        <f>IF(A37&gt;$E$4,0,F36)</f>
        <v>417641.1249999995</v>
      </c>
      <c r="C37" s="1155">
        <f>ROUND(B37*$C$13,$E$10)</f>
        <v>18793.85</v>
      </c>
      <c r="D37" s="1155">
        <f>IF(A37&gt;$E$4,0,ROUND(D36*(1+$D$13),2))</f>
        <v>26528.9</v>
      </c>
      <c r="E37" s="1155">
        <f>B37+C37-D37</f>
        <v>409906.0749999994</v>
      </c>
      <c r="F37" s="1155">
        <f>SUM(E37:E37)</f>
        <v>409906.0749999994</v>
      </c>
      <c r="G37" s="1155">
        <f>D37-C37</f>
        <v>7735.050000000003</v>
      </c>
      <c r="H37" s="86"/>
    </row>
    <row r="38" ht="18" customHeight="1">
      <c r="A38" s="1112">
        <f>A37+1</f>
        <v>24</v>
      </c>
      <c r="B38" s="1155">
        <f>IF(A38&gt;$E$4,0,F37)</f>
        <v>409906.0749999994</v>
      </c>
      <c r="C38" s="1155">
        <f>ROUND(B38*$C$13,$E$10)</f>
        <v>18445.77</v>
      </c>
      <c r="D38" s="1155">
        <f>IF(A38&gt;$E$4,0,ROUND(D37*(1+$D$13),2))</f>
        <v>26528.9</v>
      </c>
      <c r="E38" s="1155">
        <f>B38+C38-D38</f>
        <v>401822.9449999994</v>
      </c>
      <c r="F38" s="1155">
        <f>SUM(E38:E38)</f>
        <v>401822.9449999994</v>
      </c>
      <c r="G38" s="1155">
        <f>D38-C38</f>
        <v>8083.130000000001</v>
      </c>
      <c r="H38" s="86"/>
    </row>
    <row r="39" ht="18" customHeight="1">
      <c r="A39" s="1112">
        <f>A38+1</f>
        <v>25</v>
      </c>
      <c r="B39" s="1155">
        <f>IF(A39&gt;$E$4,0,F38)</f>
        <v>401822.9449999994</v>
      </c>
      <c r="C39" s="1155">
        <f>ROUND(B39*$C$13,$E$10)</f>
        <v>18082.03</v>
      </c>
      <c r="D39" s="1155">
        <f>IF(A39&gt;$E$4,0,ROUND(D38*(1+$D$13),2))</f>
        <v>26528.9</v>
      </c>
      <c r="E39" s="1155">
        <f>B39+C39-D39</f>
        <v>393376.0749999994</v>
      </c>
      <c r="F39" s="1155">
        <f>SUM(E39:E39)</f>
        <v>393376.0749999994</v>
      </c>
      <c r="G39" s="1155">
        <f>D39-C39</f>
        <v>8446.870000000003</v>
      </c>
      <c r="H39" s="86"/>
    </row>
    <row r="40" ht="18" customHeight="1">
      <c r="A40" s="1112">
        <f>A39+1</f>
        <v>26</v>
      </c>
      <c r="B40" s="1155">
        <f>IF(A40&gt;$E$4,0,F39)</f>
        <v>393376.0749999994</v>
      </c>
      <c r="C40" s="1155">
        <f>ROUND(B40*$C$13,$E$10)</f>
        <v>17701.92</v>
      </c>
      <c r="D40" s="1155">
        <f>IF(A40&gt;$E$4,0,ROUND(D39*(1+$D$13),2))</f>
        <v>26528.9</v>
      </c>
      <c r="E40" s="1155">
        <f>B40+C40-D40</f>
        <v>384549.0949999993</v>
      </c>
      <c r="F40" s="1155">
        <f>SUM(E40:E40)</f>
        <v>384549.0949999993</v>
      </c>
      <c r="G40" s="1155">
        <f>D40-C40</f>
        <v>8826.980000000003</v>
      </c>
      <c r="H40" s="86"/>
    </row>
    <row r="41" ht="18" customHeight="1">
      <c r="A41" s="1112">
        <f>A40+1</f>
        <v>27</v>
      </c>
      <c r="B41" s="1155">
        <f>IF(A41&gt;$E$4,0,F40)</f>
        <v>384549.0949999993</v>
      </c>
      <c r="C41" s="1155">
        <f>ROUND(B41*$C$13,$E$10)</f>
        <v>17304.71</v>
      </c>
      <c r="D41" s="1155">
        <f>IF(A41&gt;$E$4,0,ROUND(D40*(1+$D$13),2))</f>
        <v>26528.9</v>
      </c>
      <c r="E41" s="1155">
        <f>B41+C41-D41</f>
        <v>375324.9049999993</v>
      </c>
      <c r="F41" s="1155">
        <f>SUM(E41:E41)</f>
        <v>375324.9049999993</v>
      </c>
      <c r="G41" s="1155">
        <f>D41-C41</f>
        <v>9224.190000000002</v>
      </c>
      <c r="H41" s="86"/>
    </row>
    <row r="42" ht="18" customHeight="1">
      <c r="A42" s="1112">
        <f>A41+1</f>
        <v>28</v>
      </c>
      <c r="B42" s="1155">
        <f>IF(A42&gt;$E$4,0,F41)</f>
        <v>375324.9049999993</v>
      </c>
      <c r="C42" s="1155">
        <f>ROUND(B42*$C$13,$E$10)</f>
        <v>16889.62</v>
      </c>
      <c r="D42" s="1155">
        <f>IF(A42&gt;$E$4,0,ROUND(D41*(1+$D$13),2))</f>
        <v>26528.9</v>
      </c>
      <c r="E42" s="1155">
        <f>B42+C42-D42</f>
        <v>365685.6249999993</v>
      </c>
      <c r="F42" s="1155">
        <f>SUM(E42:E42)</f>
        <v>365685.6249999993</v>
      </c>
      <c r="G42" s="1155">
        <f>D42-C42</f>
        <v>9639.280000000002</v>
      </c>
      <c r="H42" s="86"/>
    </row>
    <row r="43" ht="18" customHeight="1">
      <c r="A43" s="1112">
        <f>A42+1</f>
        <v>29</v>
      </c>
      <c r="B43" s="1155">
        <f>IF(A43&gt;$E$4,0,F42)</f>
        <v>365685.6249999993</v>
      </c>
      <c r="C43" s="1155">
        <f>ROUND(B43*$C$13,$E$10)</f>
        <v>16455.85</v>
      </c>
      <c r="D43" s="1155">
        <f>IF(A43&gt;$E$4,0,ROUND(D42*(1+$D$13),2))</f>
        <v>26528.9</v>
      </c>
      <c r="E43" s="1155">
        <f>B43+C43-D43</f>
        <v>355612.5749999993</v>
      </c>
      <c r="F43" s="1155">
        <f>SUM(E43:E43)</f>
        <v>355612.5749999993</v>
      </c>
      <c r="G43" s="1155">
        <f>D43-C43</f>
        <v>10073.05</v>
      </c>
      <c r="H43" s="86"/>
    </row>
    <row r="44" ht="18" customHeight="1">
      <c r="A44" s="1112">
        <f>A43+1</f>
        <v>30</v>
      </c>
      <c r="B44" s="1155">
        <f>IF(A44&gt;$E$4,0,F43)</f>
        <v>355612.5749999993</v>
      </c>
      <c r="C44" s="1155">
        <f>ROUND(B44*$C$13,$E$10)</f>
        <v>16002.57</v>
      </c>
      <c r="D44" s="1155">
        <f>IF(A44&gt;$E$4,0,ROUND(D43*(1+$D$13),2))</f>
        <v>26528.9</v>
      </c>
      <c r="E44" s="1155">
        <f>B44+C44-D44</f>
        <v>345086.2449999992</v>
      </c>
      <c r="F44" s="1155">
        <f>SUM(E44:E44)</f>
        <v>345086.2449999992</v>
      </c>
      <c r="G44" s="1155">
        <f>D44-C44</f>
        <v>10526.33</v>
      </c>
      <c r="H44" s="86"/>
    </row>
    <row r="45" ht="18" customHeight="1">
      <c r="A45" s="1112">
        <f>A44+1</f>
        <v>31</v>
      </c>
      <c r="B45" s="1155">
        <f>IF(A45&gt;$E$4,0,F44)</f>
        <v>345086.2449999992</v>
      </c>
      <c r="C45" s="1155">
        <f>ROUND(B45*$C$13,$E$10)</f>
        <v>15528.88</v>
      </c>
      <c r="D45" s="1155">
        <f>IF(A45&gt;$E$4,0,ROUND(D44*(1+$D$13),2))</f>
        <v>26528.9</v>
      </c>
      <c r="E45" s="1155">
        <f>B45+C45-D45</f>
        <v>334086.2249999992</v>
      </c>
      <c r="F45" s="1155">
        <f>SUM(E45:E45)</f>
        <v>334086.2249999992</v>
      </c>
      <c r="G45" s="1155">
        <f>D45-C45</f>
        <v>11000.02</v>
      </c>
      <c r="H45" s="86"/>
    </row>
    <row r="46" ht="18" customHeight="1">
      <c r="A46" s="1112">
        <f>A45+1</f>
        <v>32</v>
      </c>
      <c r="B46" s="1155">
        <f>IF(A46&gt;$E$4,0,F45)</f>
        <v>334086.2249999992</v>
      </c>
      <c r="C46" s="1155">
        <f>ROUND(B46*$C$13,$E$10)</f>
        <v>15033.88</v>
      </c>
      <c r="D46" s="1155">
        <f>IF(A46&gt;$E$4,0,ROUND(D45*(1+$D$13),2))</f>
        <v>26528.9</v>
      </c>
      <c r="E46" s="1155">
        <f>B46+C46-D46</f>
        <v>322591.2049999992</v>
      </c>
      <c r="F46" s="1155">
        <f>SUM(E46:E46)</f>
        <v>322591.2049999992</v>
      </c>
      <c r="G46" s="1155">
        <f>D46-C46</f>
        <v>11495.02</v>
      </c>
      <c r="H46" s="86"/>
    </row>
    <row r="47" ht="18" customHeight="1">
      <c r="A47" s="1112">
        <f>A46+1</f>
        <v>33</v>
      </c>
      <c r="B47" s="1155">
        <f>IF(A47&gt;$E$4,0,F46)</f>
        <v>322591.2049999992</v>
      </c>
      <c r="C47" s="1155">
        <f>ROUND(B47*$C$13,$E$10)</f>
        <v>14516.6</v>
      </c>
      <c r="D47" s="1155">
        <f>IF(A47&gt;$E$4,0,ROUND(D46*(1+$D$13),2))</f>
        <v>26528.9</v>
      </c>
      <c r="E47" s="1155">
        <f>B47+C47-D47</f>
        <v>310578.9049999992</v>
      </c>
      <c r="F47" s="1155">
        <f>SUM(E47:E47)</f>
        <v>310578.9049999992</v>
      </c>
      <c r="G47" s="1155">
        <f>D47-C47</f>
        <v>12012.3</v>
      </c>
      <c r="H47" s="86"/>
    </row>
    <row r="48" ht="18" customHeight="1">
      <c r="A48" s="1112">
        <f>A47+1</f>
        <v>34</v>
      </c>
      <c r="B48" s="1155">
        <f>IF(A48&gt;$E$4,0,F47)</f>
        <v>310578.9049999992</v>
      </c>
      <c r="C48" s="1155">
        <f>ROUND(B48*$C$13,$E$10)</f>
        <v>13976.05</v>
      </c>
      <c r="D48" s="1155">
        <f>IF(A48&gt;$E$4,0,ROUND(D47*(1+$D$13),2))</f>
        <v>26528.9</v>
      </c>
      <c r="E48" s="1155">
        <f>B48+C48-D48</f>
        <v>298026.0549999991</v>
      </c>
      <c r="F48" s="1155">
        <f>SUM(E48:E48)</f>
        <v>298026.0549999991</v>
      </c>
      <c r="G48" s="1155">
        <f>D48-C48</f>
        <v>12552.85</v>
      </c>
      <c r="H48" s="86"/>
    </row>
    <row r="49" ht="18" customHeight="1">
      <c r="A49" s="1112">
        <f>A48+1</f>
        <v>35</v>
      </c>
      <c r="B49" s="1155">
        <f>IF(A49&gt;$E$4,0,F48)</f>
        <v>298026.0549999991</v>
      </c>
      <c r="C49" s="1155">
        <f>ROUND(B49*$C$13,$E$10)</f>
        <v>13411.17</v>
      </c>
      <c r="D49" s="1155">
        <f>IF(A49&gt;$E$4,0,ROUND(D48*(1+$D$13),2))</f>
        <v>26528.9</v>
      </c>
      <c r="E49" s="1155">
        <f>B49+C49-D49</f>
        <v>284908.3249999991</v>
      </c>
      <c r="F49" s="1155">
        <f>SUM(E49:E49)</f>
        <v>284908.3249999991</v>
      </c>
      <c r="G49" s="1155">
        <f>D49-C49</f>
        <v>13117.73</v>
      </c>
      <c r="H49" s="86"/>
    </row>
    <row r="50" ht="18" customHeight="1">
      <c r="A50" s="1112">
        <f>A49+1</f>
        <v>36</v>
      </c>
      <c r="B50" s="1155">
        <f>IF(A50&gt;$E$4,0,F49)</f>
        <v>284908.3249999991</v>
      </c>
      <c r="C50" s="1155">
        <f>ROUND(B50*$C$13,$E$10)</f>
        <v>12820.87</v>
      </c>
      <c r="D50" s="1155">
        <f>IF(A50&gt;$E$4,0,ROUND(D49*(1+$D$13),2))</f>
        <v>26528.9</v>
      </c>
      <c r="E50" s="1155">
        <f>B50+C50-D50</f>
        <v>271200.2949999991</v>
      </c>
      <c r="F50" s="1155">
        <f>SUM(E50:E50)</f>
        <v>271200.2949999991</v>
      </c>
      <c r="G50" s="1155">
        <f>D50-C50</f>
        <v>13708.03</v>
      </c>
      <c r="H50" s="86"/>
    </row>
    <row r="51" ht="18" customHeight="1">
      <c r="A51" s="1112">
        <f>A50+1</f>
        <v>37</v>
      </c>
      <c r="B51" s="1155">
        <f>IF(A51&gt;$E$4,0,F50)</f>
        <v>271200.2949999991</v>
      </c>
      <c r="C51" s="1155">
        <f>ROUND(B51*$C$13,$E$10)</f>
        <v>12204.01</v>
      </c>
      <c r="D51" s="1155">
        <f>IF(A51&gt;$E$4,0,ROUND(D50*(1+$D$13),2))</f>
        <v>26528.9</v>
      </c>
      <c r="E51" s="1155">
        <f>B51+C51-D51</f>
        <v>256875.4049999991</v>
      </c>
      <c r="F51" s="1155">
        <f>SUM(E51:E51)</f>
        <v>256875.4049999991</v>
      </c>
      <c r="G51" s="1155">
        <f>D51-C51</f>
        <v>14324.89</v>
      </c>
      <c r="H51" s="86"/>
    </row>
    <row r="52" ht="18" customHeight="1">
      <c r="A52" s="1112">
        <f>A51+1</f>
        <v>38</v>
      </c>
      <c r="B52" s="1155">
        <f>IF(A52&gt;$E$4,0,F51)</f>
        <v>256875.4049999991</v>
      </c>
      <c r="C52" s="1155">
        <f>ROUND(B52*$C$13,$E$10)</f>
        <v>11559.39</v>
      </c>
      <c r="D52" s="1155">
        <f>IF(A52&gt;$E$4,0,ROUND(D51*(1+$D$13),2))</f>
        <v>26528.9</v>
      </c>
      <c r="E52" s="1155">
        <f>B52+C52-D52</f>
        <v>241905.8949999991</v>
      </c>
      <c r="F52" s="1155">
        <f>SUM(E52:E52)</f>
        <v>241905.8949999991</v>
      </c>
      <c r="G52" s="1155">
        <f>D52-C52</f>
        <v>14969.51</v>
      </c>
      <c r="H52" s="86"/>
    </row>
    <row r="53" ht="18" customHeight="1">
      <c r="A53" s="1112">
        <f>A52+1</f>
        <v>39</v>
      </c>
      <c r="B53" s="1155">
        <f>IF(A53&gt;$E$4,0,F52)</f>
        <v>241905.8949999991</v>
      </c>
      <c r="C53" s="1155">
        <f>ROUND(B53*$C$13,$E$10)</f>
        <v>10885.77</v>
      </c>
      <c r="D53" s="1155">
        <f>IF(A53&gt;$E$4,0,ROUND(D52*(1+$D$13),2))</f>
        <v>26528.9</v>
      </c>
      <c r="E53" s="1155">
        <f>B53+C53-D53</f>
        <v>226262.7649999991</v>
      </c>
      <c r="F53" s="1155">
        <f>SUM(E53:E53)</f>
        <v>226262.7649999991</v>
      </c>
      <c r="G53" s="1155">
        <f>D53-C53</f>
        <v>15643.13</v>
      </c>
      <c r="H53" s="86"/>
    </row>
    <row r="54" ht="18" customHeight="1">
      <c r="A54" s="1112">
        <f>A53+1</f>
        <v>40</v>
      </c>
      <c r="B54" s="1155">
        <f>IF(A54&gt;$E$4,0,F53)</f>
        <v>226262.7649999991</v>
      </c>
      <c r="C54" s="1155">
        <f>ROUND(B54*$C$13,$E$10)</f>
        <v>10181.82</v>
      </c>
      <c r="D54" s="1155">
        <f>IF(A54&gt;$E$4,0,ROUND(D53*(1+$D$13),2))</f>
        <v>26528.9</v>
      </c>
      <c r="E54" s="1155">
        <f>B54+C54-D54</f>
        <v>209915.6849999991</v>
      </c>
      <c r="F54" s="1155">
        <f>SUM(E54:E54)</f>
        <v>209915.6849999991</v>
      </c>
      <c r="G54" s="1155">
        <f>D54-C54</f>
        <v>16347.08</v>
      </c>
      <c r="H54" s="86"/>
    </row>
    <row r="55" ht="18" customHeight="1">
      <c r="A55" s="1112">
        <f>A54+1</f>
        <v>41</v>
      </c>
      <c r="B55" s="1155">
        <f>IF(A55&gt;$E$4,0,F54)</f>
        <v>209915.6849999991</v>
      </c>
      <c r="C55" s="1155">
        <f>ROUND(B55*$C$13,$E$10)</f>
        <v>9446.209999999999</v>
      </c>
      <c r="D55" s="1155">
        <f>IF(A55&gt;$E$4,0,ROUND(D54*(1+$D$13),2))</f>
        <v>26528.9</v>
      </c>
      <c r="E55" s="1155">
        <f>B55+C55-D55</f>
        <v>192832.9949999991</v>
      </c>
      <c r="F55" s="1155">
        <f>SUM(E55:E55)</f>
        <v>192832.9949999991</v>
      </c>
      <c r="G55" s="1155">
        <f>D55-C55</f>
        <v>17082.69</v>
      </c>
      <c r="H55" s="86"/>
    </row>
    <row r="56" ht="18" customHeight="1">
      <c r="A56" s="1112">
        <f>A55+1</f>
        <v>42</v>
      </c>
      <c r="B56" s="1155">
        <f>IF(A56&gt;$E$4,0,F55)</f>
        <v>192832.9949999991</v>
      </c>
      <c r="C56" s="1155">
        <f>ROUND(B56*$C$13,$E$10)</f>
        <v>8677.48</v>
      </c>
      <c r="D56" s="1155">
        <f>IF(A56&gt;$E$4,0,ROUND(D55*(1+$D$13),2))</f>
        <v>26528.9</v>
      </c>
      <c r="E56" s="1155">
        <f>B56+C56-D56</f>
        <v>174981.5749999991</v>
      </c>
      <c r="F56" s="1155">
        <f>SUM(E56:E56)</f>
        <v>174981.5749999991</v>
      </c>
      <c r="G56" s="1155">
        <f>D56-C56</f>
        <v>17851.42</v>
      </c>
      <c r="H56" s="86"/>
    </row>
    <row r="57" ht="18" customHeight="1">
      <c r="A57" s="1112">
        <f>A56+1</f>
        <v>43</v>
      </c>
      <c r="B57" s="1155">
        <f>IF(A57&gt;$E$4,0,F56)</f>
        <v>174981.5749999991</v>
      </c>
      <c r="C57" s="1155">
        <f>ROUND(B57*$C$13,$E$10)</f>
        <v>7874.17</v>
      </c>
      <c r="D57" s="1155">
        <f>IF(A57&gt;$E$4,0,ROUND(D56*(1+$D$13),2))</f>
        <v>26528.9</v>
      </c>
      <c r="E57" s="1155">
        <f>B57+C57-D57</f>
        <v>156326.8449999991</v>
      </c>
      <c r="F57" s="1155">
        <f>SUM(E57:E57)</f>
        <v>156326.8449999991</v>
      </c>
      <c r="G57" s="1155">
        <f>D57-C57</f>
        <v>18654.73</v>
      </c>
      <c r="H57" s="86"/>
    </row>
    <row r="58" ht="18" customHeight="1">
      <c r="A58" s="1112">
        <f>A57+1</f>
        <v>44</v>
      </c>
      <c r="B58" s="1155">
        <f>IF(A58&gt;$E$4,0,F57)</f>
        <v>156326.8449999991</v>
      </c>
      <c r="C58" s="1155">
        <f>ROUND(B58*$C$13,$E$10)</f>
        <v>7034.71</v>
      </c>
      <c r="D58" s="1155">
        <f>IF(A58&gt;$E$4,0,ROUND(D57*(1+$D$13),2))</f>
        <v>26528.9</v>
      </c>
      <c r="E58" s="1155">
        <f>B58+C58-D58</f>
        <v>136832.6549999991</v>
      </c>
      <c r="F58" s="1155">
        <f>SUM(E58:E58)</f>
        <v>136832.6549999991</v>
      </c>
      <c r="G58" s="1155">
        <f>D58-C58</f>
        <v>19494.19</v>
      </c>
      <c r="H58" s="86"/>
    </row>
    <row r="59" ht="18" customHeight="1">
      <c r="A59" s="1112">
        <f>A58+1</f>
        <v>45</v>
      </c>
      <c r="B59" s="1155">
        <f>IF(A59&gt;$E$4,0,F58)</f>
        <v>136832.6549999991</v>
      </c>
      <c r="C59" s="1155">
        <f>ROUND(B59*$C$13,$E$10)</f>
        <v>6157.47</v>
      </c>
      <c r="D59" s="1155">
        <f>IF(A59&gt;$E$4,0,ROUND(D58*(1+$D$13),2))</f>
        <v>26528.9</v>
      </c>
      <c r="E59" s="1155">
        <f>B59+C59-D59</f>
        <v>116461.2249999991</v>
      </c>
      <c r="F59" s="1155">
        <f>SUM(E59:E59)</f>
        <v>116461.2249999991</v>
      </c>
      <c r="G59" s="1155">
        <f>D59-C59</f>
        <v>20371.43</v>
      </c>
      <c r="H59" s="86"/>
    </row>
    <row r="60" ht="18" customHeight="1">
      <c r="A60" s="1112">
        <f>A59+1</f>
        <v>46</v>
      </c>
      <c r="B60" s="1155">
        <f>IF(A60&gt;$E$4,0,F59)</f>
        <v>116461.2249999991</v>
      </c>
      <c r="C60" s="1155">
        <f>ROUND(B60*$C$13,$E$10)</f>
        <v>5240.76</v>
      </c>
      <c r="D60" s="1155">
        <f>IF(A60&gt;$E$4,0,ROUND(D59*(1+$D$13),2))</f>
        <v>26528.9</v>
      </c>
      <c r="E60" s="1155">
        <f>B60+C60-D60</f>
        <v>95173.084999999090</v>
      </c>
      <c r="F60" s="1155">
        <f>SUM(E60:E60)</f>
        <v>95173.084999999090</v>
      </c>
      <c r="G60" s="1155">
        <f>D60-C60</f>
        <v>21288.14</v>
      </c>
      <c r="H60" s="86"/>
    </row>
    <row r="61" ht="18" customHeight="1">
      <c r="A61" s="1112">
        <f>A60+1</f>
        <v>47</v>
      </c>
      <c r="B61" s="1155">
        <f>IF(A61&gt;$E$4,0,F60)</f>
        <v>95173.084999999090</v>
      </c>
      <c r="C61" s="1155">
        <f>ROUND(B61*$C$13,$E$10)</f>
        <v>4282.79</v>
      </c>
      <c r="D61" s="1155">
        <f>IF(A61&gt;$E$4,0,ROUND(D60*(1+$D$13),2))</f>
        <v>26528.9</v>
      </c>
      <c r="E61" s="1155">
        <f>B61+C61-D61</f>
        <v>72926.974999999074</v>
      </c>
      <c r="F61" s="1155">
        <f>SUM(E61:E61)</f>
        <v>72926.974999999074</v>
      </c>
      <c r="G61" s="1155">
        <f>D61-C61</f>
        <v>22246.11</v>
      </c>
      <c r="H61" s="86"/>
    </row>
    <row r="62" ht="18" customHeight="1">
      <c r="A62" s="1112">
        <f>A61+1</f>
        <v>48</v>
      </c>
      <c r="B62" s="1155">
        <f>IF(A62&gt;$E$4,0,F61)</f>
        <v>72926.974999999074</v>
      </c>
      <c r="C62" s="1155">
        <f>ROUND(B62*$C$13,$E$10)</f>
        <v>3281.71</v>
      </c>
      <c r="D62" s="1155">
        <f>IF(A62&gt;$E$4,0,ROUND(D61*(1+$D$13),2))</f>
        <v>26528.9</v>
      </c>
      <c r="E62" s="1155">
        <f>B62+C62-D62</f>
        <v>49679.784999999079</v>
      </c>
      <c r="F62" s="1155">
        <f>SUM(E62:E62)</f>
        <v>49679.784999999079</v>
      </c>
      <c r="G62" s="1155">
        <f>D62-C62</f>
        <v>23247.19</v>
      </c>
      <c r="H62" s="86"/>
    </row>
    <row r="63" ht="18" customHeight="1">
      <c r="A63" s="1112">
        <f>A62+1</f>
        <v>49</v>
      </c>
      <c r="B63" s="1155">
        <f>IF(A63&gt;$E$4,0,F62)</f>
        <v>49679.784999999079</v>
      </c>
      <c r="C63" s="1155">
        <f>ROUND(B63*$C$13,$E$10)</f>
        <v>2235.59</v>
      </c>
      <c r="D63" s="1155">
        <f>IF(A63&gt;$E$4,0,ROUND(D62*(1+$D$13),2))</f>
        <v>26528.9</v>
      </c>
      <c r="E63" s="1155">
        <f>B63+C63-D63</f>
        <v>25386.474999999082</v>
      </c>
      <c r="F63" s="1155">
        <f>SUM(E63:E63)</f>
        <v>25386.474999999082</v>
      </c>
      <c r="G63" s="1155">
        <f>D63-C63</f>
        <v>24293.31</v>
      </c>
      <c r="H63" s="86"/>
    </row>
    <row r="64" ht="18" customHeight="1">
      <c r="A64" s="1112">
        <f>A63+1</f>
        <v>50</v>
      </c>
      <c r="B64" s="1155">
        <f>IF(A64&gt;$E$4,0,F63)</f>
        <v>25386.474999999082</v>
      </c>
      <c r="C64" s="1155">
        <f>ROUND(B64*$C$13,$E$10)</f>
        <v>1142.39</v>
      </c>
      <c r="D64" s="1155">
        <f>IF(A64&gt;$E$4,0,ROUND(D63*(1+$D$13),2))</f>
        <v>26528.9</v>
      </c>
      <c r="E64" s="1155">
        <f>B64+C64-D64</f>
        <v>-0.03500000092026312</v>
      </c>
      <c r="F64" s="1155">
        <f>SUM(E64:E64)</f>
        <v>-0.03500000092026312</v>
      </c>
      <c r="G64" s="1155">
        <f>D64-C64</f>
        <v>25386.51</v>
      </c>
      <c r="H64" s="86"/>
    </row>
    <row r="65" ht="18" customHeight="1">
      <c r="A65" s="1112"/>
      <c r="B65" s="1155"/>
      <c r="C65" s="1155"/>
      <c r="D65" s="1155"/>
      <c r="E65" s="1155"/>
      <c r="F65" s="1155"/>
      <c r="G65" s="1155"/>
      <c r="H65" s="86"/>
    </row>
    <row r="66" ht="18" customHeight="1">
      <c r="A66" s="1112"/>
      <c r="B66" s="1155"/>
      <c r="C66" s="1155"/>
      <c r="D66" s="1155"/>
      <c r="E66" s="1155"/>
      <c r="F66" s="1155"/>
      <c r="G66" s="1155"/>
      <c r="H66" s="86"/>
    </row>
    <row r="67" ht="15.75" customHeight="1">
      <c r="A67" s="1112"/>
      <c r="B67" s="1112"/>
      <c r="C67" s="1162"/>
      <c r="D67" s="1162"/>
      <c r="E67" s="1112"/>
      <c r="F67" s="1112"/>
      <c r="G67" s="1112"/>
      <c r="H67" s="86"/>
    </row>
    <row r="68" ht="15.75" customHeight="1">
      <c r="A68" s="1112"/>
      <c r="B68" s="1112"/>
      <c r="C68" s="1163">
        <f>SUM(C14:C64)</f>
        <v>802180.6399999999</v>
      </c>
      <c r="D68" s="1163">
        <f>SUM(D14:D64)</f>
        <v>1326445</v>
      </c>
      <c r="E68" s="1112"/>
      <c r="F68" s="1112"/>
      <c r="G68" s="1112"/>
      <c r="H68" s="86"/>
    </row>
    <row r="69" ht="15.75" customHeight="1">
      <c r="A69" s="1112"/>
      <c r="B69" s="1112"/>
      <c r="C69" s="1164"/>
      <c r="D69" s="1164"/>
      <c r="E69" s="1112"/>
      <c r="F69" s="1112"/>
      <c r="G69" s="1112"/>
      <c r="H69" s="86"/>
    </row>
    <row r="70" ht="16" customHeight="1">
      <c r="A70" s="11"/>
      <c r="B70" s="11"/>
      <c r="C70" s="11"/>
      <c r="D70" s="11"/>
      <c r="E70" s="11"/>
      <c r="F70" s="11"/>
      <c r="G70" s="11"/>
      <c r="H70" s="11"/>
    </row>
    <row r="71" ht="16" customHeight="1">
      <c r="A71" s="11"/>
      <c r="B71" s="11"/>
      <c r="C71" s="11"/>
      <c r="D71" s="11"/>
      <c r="E71" s="11"/>
      <c r="F71" s="11"/>
      <c r="G71" s="11"/>
      <c r="H71" s="11"/>
    </row>
    <row r="72" ht="16" customHeight="1">
      <c r="A72" s="11"/>
      <c r="B72" s="11"/>
      <c r="C72" s="11"/>
      <c r="D72" s="11"/>
      <c r="E72" s="11"/>
      <c r="F72" s="11"/>
      <c r="G72" s="11"/>
      <c r="H72" s="11"/>
    </row>
    <row r="73" ht="16" customHeight="1">
      <c r="A73" s="11"/>
      <c r="B73" s="11"/>
      <c r="C73" s="11"/>
      <c r="D73" s="11"/>
      <c r="E73" s="11"/>
      <c r="F73" s="11"/>
      <c r="G73" s="11"/>
      <c r="H73" s="11"/>
    </row>
    <row r="74" ht="16" customHeight="1">
      <c r="A74" s="11"/>
      <c r="B74" s="11"/>
      <c r="C74" s="11"/>
      <c r="D74" s="11"/>
      <c r="E74" s="11"/>
      <c r="F74" s="11"/>
      <c r="G74" s="11"/>
      <c r="H74" s="11"/>
    </row>
    <row r="75" ht="16" customHeight="1">
      <c r="A75" s="11"/>
      <c r="B75" s="11"/>
      <c r="C75" s="11"/>
      <c r="D75" s="11"/>
      <c r="E75" s="11"/>
      <c r="F75" s="11"/>
      <c r="G75" s="11"/>
      <c r="H75" s="11"/>
    </row>
    <row r="76" ht="16" customHeight="1">
      <c r="A76" s="11"/>
      <c r="B76" s="11"/>
      <c r="C76" s="11"/>
      <c r="D76" s="11"/>
      <c r="E76" s="11"/>
      <c r="F76" s="11"/>
      <c r="G76" s="11"/>
      <c r="H76" s="11"/>
    </row>
    <row r="77" ht="16" customHeight="1">
      <c r="A77" s="11"/>
      <c r="B77" s="11"/>
      <c r="C77" s="11"/>
      <c r="D77" s="11"/>
      <c r="E77" s="11"/>
      <c r="F77" s="11"/>
      <c r="G77" s="11"/>
      <c r="H77" s="11"/>
    </row>
    <row r="78" ht="16" customHeight="1">
      <c r="A78" s="11"/>
      <c r="B78" s="11"/>
      <c r="C78" s="11"/>
      <c r="D78" s="11"/>
      <c r="E78" s="11"/>
      <c r="F78" s="11"/>
      <c r="G78" s="11"/>
      <c r="H78" s="11"/>
    </row>
    <row r="79" ht="16" customHeight="1">
      <c r="A79" s="11"/>
      <c r="B79" s="11"/>
      <c r="C79" s="11"/>
      <c r="D79" s="11"/>
      <c r="E79" s="11"/>
      <c r="F79" s="11"/>
      <c r="G79" s="11"/>
      <c r="H79" s="11"/>
    </row>
    <row r="80" ht="16" customHeight="1">
      <c r="A80" s="11"/>
      <c r="B80" s="11"/>
      <c r="C80" s="11"/>
      <c r="D80" s="11"/>
      <c r="E80" s="11"/>
      <c r="F80" s="11"/>
      <c r="G80" s="11"/>
      <c r="H80" s="11"/>
    </row>
    <row r="81" ht="16" customHeight="1">
      <c r="A81" s="11"/>
      <c r="B81" s="11"/>
      <c r="C81" s="11"/>
      <c r="D81" s="11"/>
      <c r="E81" s="11"/>
      <c r="F81" s="11"/>
      <c r="G81" s="11"/>
      <c r="H81" s="11"/>
    </row>
    <row r="82" ht="16" customHeight="1">
      <c r="A82" s="11"/>
      <c r="B82" s="11"/>
      <c r="C82" s="11"/>
      <c r="D82" s="11"/>
      <c r="E82" s="11"/>
      <c r="F82" s="11"/>
      <c r="G82" s="11"/>
      <c r="H82" s="11"/>
    </row>
    <row r="83" ht="16" customHeight="1">
      <c r="A83" s="11"/>
      <c r="B83" s="11"/>
      <c r="C83" s="11"/>
      <c r="D83" s="11"/>
      <c r="E83" s="11"/>
      <c r="F83" s="11"/>
      <c r="G83" s="11"/>
      <c r="H83" s="11"/>
    </row>
    <row r="84" ht="16" customHeight="1">
      <c r="A84" s="11"/>
      <c r="B84" s="11"/>
      <c r="C84" s="11"/>
      <c r="D84" s="11"/>
      <c r="E84" s="11"/>
      <c r="F84" s="11"/>
      <c r="G84" s="11"/>
      <c r="H84" s="11"/>
    </row>
    <row r="85" ht="16" customHeight="1">
      <c r="A85" s="11"/>
      <c r="B85" s="11"/>
      <c r="C85" s="11"/>
      <c r="D85" s="11"/>
      <c r="E85" s="11"/>
      <c r="F85" s="11"/>
      <c r="G85" s="11"/>
      <c r="H85" s="11"/>
    </row>
    <row r="86" ht="16" customHeight="1">
      <c r="A86" s="11"/>
      <c r="B86" s="11"/>
      <c r="C86" s="11"/>
      <c r="D86" s="11"/>
      <c r="E86" s="11"/>
      <c r="F86" s="11"/>
      <c r="G86" s="11"/>
      <c r="H86" s="11"/>
    </row>
    <row r="87" ht="16" customHeight="1">
      <c r="A87" s="11"/>
      <c r="B87" s="11"/>
      <c r="C87" s="11"/>
      <c r="D87" s="11"/>
      <c r="E87" s="11"/>
      <c r="F87" s="11"/>
      <c r="G87" s="11"/>
      <c r="H87" s="11"/>
    </row>
    <row r="88" ht="16" customHeight="1">
      <c r="A88" s="11"/>
      <c r="B88" s="11"/>
      <c r="C88" s="11"/>
      <c r="D88" s="11"/>
      <c r="E88" s="11"/>
      <c r="F88" s="11"/>
      <c r="G88" s="11"/>
      <c r="H88" s="11"/>
    </row>
    <row r="89" ht="16" customHeight="1">
      <c r="A89" s="11"/>
      <c r="B89" s="11"/>
      <c r="C89" s="11"/>
      <c r="D89" s="11"/>
      <c r="E89" s="11"/>
      <c r="F89" s="11"/>
      <c r="G89" s="11"/>
      <c r="H89" s="11"/>
    </row>
    <row r="90" ht="16" customHeight="1">
      <c r="A90" s="11"/>
      <c r="B90" s="11"/>
      <c r="C90" s="11"/>
      <c r="D90" s="11"/>
      <c r="E90" s="11"/>
      <c r="F90" s="11"/>
      <c r="G90" s="11"/>
      <c r="H90" s="11"/>
    </row>
    <row r="91" ht="16" customHeight="1">
      <c r="A91" s="11"/>
      <c r="B91" s="11"/>
      <c r="C91" s="11"/>
      <c r="D91" s="11"/>
      <c r="E91" s="11"/>
      <c r="F91" s="11"/>
      <c r="G91" s="11"/>
      <c r="H91" s="11"/>
    </row>
    <row r="92" ht="16" customHeight="1">
      <c r="A92" s="11"/>
      <c r="B92" s="11"/>
      <c r="C92" s="11"/>
      <c r="D92" s="11"/>
      <c r="E92" s="11"/>
      <c r="F92" s="11"/>
      <c r="G92" s="11"/>
      <c r="H92" s="11"/>
    </row>
    <row r="93" ht="16" customHeight="1">
      <c r="A93" s="11"/>
      <c r="B93" s="11"/>
      <c r="C93" s="11"/>
      <c r="D93" s="11"/>
      <c r="E93" s="11"/>
      <c r="F93" s="11"/>
      <c r="G93" s="11"/>
      <c r="H93" s="11"/>
    </row>
    <row r="94" ht="16" customHeight="1">
      <c r="A94" s="11"/>
      <c r="B94" s="11"/>
      <c r="C94" s="11"/>
      <c r="D94" s="11"/>
      <c r="E94" s="11"/>
      <c r="F94" s="11"/>
      <c r="G94" s="11"/>
      <c r="H94" s="11"/>
    </row>
    <row r="95" ht="16" customHeight="1">
      <c r="A95" s="11"/>
      <c r="B95" s="11"/>
      <c r="C95" s="11"/>
      <c r="D95" s="11"/>
      <c r="E95" s="11"/>
      <c r="F95" s="11"/>
      <c r="G95" s="11"/>
      <c r="H95" s="11"/>
    </row>
    <row r="96" ht="16" customHeight="1">
      <c r="A96" s="11"/>
      <c r="B96" s="11"/>
      <c r="C96" s="11"/>
      <c r="D96" s="11"/>
      <c r="E96" s="11"/>
      <c r="F96" s="11"/>
      <c r="G96" s="11"/>
      <c r="H96" s="11"/>
    </row>
    <row r="97" ht="16" customHeight="1">
      <c r="A97" s="11"/>
      <c r="B97" s="11"/>
      <c r="C97" s="11"/>
      <c r="D97" s="11"/>
      <c r="E97" s="11"/>
      <c r="F97" s="11"/>
      <c r="G97" s="11"/>
      <c r="H97" s="11"/>
    </row>
    <row r="98" ht="16" customHeight="1">
      <c r="A98" s="11"/>
      <c r="B98" s="11"/>
      <c r="C98" s="11"/>
      <c r="D98" s="11"/>
      <c r="E98" s="11"/>
      <c r="F98" s="11"/>
      <c r="G98" s="11"/>
      <c r="H98" s="11"/>
    </row>
    <row r="99" ht="16" customHeight="1">
      <c r="A99" s="11"/>
      <c r="B99" s="11"/>
      <c r="C99" s="11"/>
      <c r="D99" s="11"/>
      <c r="E99" s="11"/>
      <c r="F99" s="11"/>
      <c r="G99" s="11"/>
      <c r="H99" s="11"/>
    </row>
    <row r="100" ht="16" customHeight="1">
      <c r="A100" s="11"/>
      <c r="B100" s="11"/>
      <c r="C100" s="11"/>
      <c r="D100" s="11"/>
      <c r="E100" s="11"/>
      <c r="F100" s="11"/>
      <c r="G100" s="11"/>
      <c r="H100" s="11"/>
    </row>
    <row r="101" ht="16" customHeight="1">
      <c r="A101" s="11"/>
      <c r="B101" s="11"/>
      <c r="C101" s="11"/>
      <c r="D101" s="11"/>
      <c r="E101" s="11"/>
      <c r="F101" s="11"/>
      <c r="G101" s="11"/>
      <c r="H101" s="11"/>
    </row>
    <row r="102" ht="16" customHeight="1">
      <c r="A102" s="11"/>
      <c r="B102" s="11"/>
      <c r="C102" s="11"/>
      <c r="D102" s="11"/>
      <c r="E102" s="11"/>
      <c r="F102" s="11"/>
      <c r="G102" s="11"/>
      <c r="H102" s="11"/>
    </row>
    <row r="103" ht="16" customHeight="1">
      <c r="A103" s="11"/>
      <c r="B103" s="11"/>
      <c r="C103" s="11"/>
      <c r="D103" s="11"/>
      <c r="E103" s="11"/>
      <c r="F103" s="11"/>
      <c r="G103" s="11"/>
      <c r="H103" s="11"/>
    </row>
    <row r="104" ht="16" customHeight="1">
      <c r="A104" s="11"/>
      <c r="B104" s="11"/>
      <c r="C104" s="11"/>
      <c r="D104" s="11"/>
      <c r="E104" s="11"/>
      <c r="F104" s="11"/>
      <c r="G104" s="11"/>
      <c r="H104" s="11"/>
    </row>
    <row r="105" ht="16" customHeight="1">
      <c r="A105" s="11"/>
      <c r="B105" s="11"/>
      <c r="C105" s="11"/>
      <c r="D105" s="11"/>
      <c r="E105" s="11"/>
      <c r="F105" s="11"/>
      <c r="G105" s="11"/>
      <c r="H105" s="11"/>
    </row>
    <row r="106" ht="16" customHeight="1">
      <c r="A106" s="11"/>
      <c r="B106" s="11"/>
      <c r="C106" s="11"/>
      <c r="D106" s="11"/>
      <c r="E106" s="11"/>
      <c r="F106" s="11"/>
      <c r="G106" s="11"/>
      <c r="H106" s="11"/>
    </row>
    <row r="107" ht="16" customHeight="1">
      <c r="A107" s="11"/>
      <c r="B107" s="11"/>
      <c r="C107" s="11"/>
      <c r="D107" s="11"/>
      <c r="E107" s="11"/>
      <c r="F107" s="11"/>
      <c r="G107" s="11"/>
      <c r="H107" s="11"/>
    </row>
    <row r="108" ht="16" customHeight="1">
      <c r="A108" s="11"/>
      <c r="B108" s="11"/>
      <c r="C108" s="11"/>
      <c r="D108" s="11"/>
      <c r="E108" s="11"/>
      <c r="F108" s="11"/>
      <c r="G108" s="11"/>
      <c r="H108" s="11"/>
    </row>
    <row r="109" ht="16" customHeight="1">
      <c r="A109" s="11"/>
      <c r="B109" s="11"/>
      <c r="C109" s="11"/>
      <c r="D109" s="11"/>
      <c r="E109" s="11"/>
      <c r="F109" s="11"/>
      <c r="G109" s="11"/>
      <c r="H109" s="11"/>
    </row>
    <row r="110" ht="16" customHeight="1">
      <c r="A110" s="11"/>
      <c r="B110" s="11"/>
      <c r="C110" s="11"/>
      <c r="D110" s="11"/>
      <c r="E110" s="11"/>
      <c r="F110" s="11"/>
      <c r="G110" s="11"/>
      <c r="H110" s="11"/>
    </row>
    <row r="111" ht="16" customHeight="1">
      <c r="A111" s="11"/>
      <c r="B111" s="11"/>
      <c r="C111" s="11"/>
      <c r="D111" s="11"/>
      <c r="E111" s="11"/>
      <c r="F111" s="11"/>
      <c r="G111" s="11"/>
      <c r="H111" s="11"/>
    </row>
    <row r="112" ht="16" customHeight="1">
      <c r="A112" s="11"/>
      <c r="B112" s="11"/>
      <c r="C112" s="11"/>
      <c r="D112" s="11"/>
      <c r="E112" s="11"/>
      <c r="F112" s="11"/>
      <c r="G112" s="11"/>
      <c r="H112" s="11"/>
    </row>
    <row r="113" ht="16" customHeight="1">
      <c r="A113" s="11"/>
      <c r="B113" s="11"/>
      <c r="C113" s="11"/>
      <c r="D113" s="11"/>
      <c r="E113" s="11"/>
      <c r="F113" s="11"/>
      <c r="G113" s="11"/>
      <c r="H113" s="11"/>
    </row>
    <row r="114" ht="16" customHeight="1">
      <c r="A114" s="11"/>
      <c r="B114" s="11"/>
      <c r="C114" s="11"/>
      <c r="D114" s="11"/>
      <c r="E114" s="11"/>
      <c r="F114" s="11"/>
      <c r="G114" s="11"/>
      <c r="H114" s="11"/>
    </row>
    <row r="115" ht="16" customHeight="1">
      <c r="A115" s="11"/>
      <c r="B115" s="11"/>
      <c r="C115" s="11"/>
      <c r="D115" s="11"/>
      <c r="E115" s="11"/>
      <c r="F115" s="11"/>
      <c r="G115" s="11"/>
      <c r="H115" s="11"/>
    </row>
    <row r="116" ht="16" customHeight="1">
      <c r="A116" s="11"/>
      <c r="B116" s="11"/>
      <c r="C116" s="11"/>
      <c r="D116" s="11"/>
      <c r="E116" s="11"/>
      <c r="F116" s="11"/>
      <c r="G116" s="11"/>
      <c r="H116" s="11"/>
    </row>
    <row r="117" ht="16" customHeight="1">
      <c r="A117" s="11"/>
      <c r="B117" s="11"/>
      <c r="C117" s="11"/>
      <c r="D117" s="11"/>
      <c r="E117" s="11"/>
      <c r="F117" s="11"/>
      <c r="G117" s="11"/>
      <c r="H117" s="11"/>
    </row>
    <row r="118" ht="16" customHeight="1">
      <c r="A118" s="11"/>
      <c r="B118" s="11"/>
      <c r="C118" s="11"/>
      <c r="D118" s="11"/>
      <c r="E118" s="11"/>
      <c r="F118" s="11"/>
      <c r="G118" s="11"/>
      <c r="H118" s="11"/>
    </row>
    <row r="119" ht="16" customHeight="1">
      <c r="A119" s="11"/>
      <c r="B119" s="11"/>
      <c r="C119" s="11"/>
      <c r="D119" s="11"/>
      <c r="E119" s="11"/>
      <c r="F119" s="11"/>
      <c r="G119" s="11"/>
      <c r="H119" s="11"/>
    </row>
    <row r="120" ht="16" customHeight="1">
      <c r="A120" s="11"/>
      <c r="B120" s="11"/>
      <c r="C120" s="11"/>
      <c r="D120" s="11"/>
      <c r="E120" s="11"/>
      <c r="F120" s="11"/>
      <c r="G120" s="11"/>
      <c r="H120" s="11"/>
    </row>
    <row r="121" ht="16" customHeight="1">
      <c r="A121" s="11"/>
      <c r="B121" s="11"/>
      <c r="C121" s="11"/>
      <c r="D121" s="11"/>
      <c r="E121" s="11"/>
      <c r="F121" s="11"/>
      <c r="G121" s="11"/>
      <c r="H121" s="11"/>
    </row>
    <row r="122" ht="16" customHeight="1">
      <c r="A122" s="11"/>
      <c r="B122" s="11"/>
      <c r="C122" s="11"/>
      <c r="D122" s="11"/>
      <c r="E122" s="11"/>
      <c r="F122" s="11"/>
      <c r="G122" s="11"/>
      <c r="H122" s="11"/>
    </row>
    <row r="123" ht="16" customHeight="1">
      <c r="A123" s="11"/>
      <c r="B123" s="11"/>
      <c r="C123" s="11"/>
      <c r="D123" s="11"/>
      <c r="E123" s="11"/>
      <c r="F123" s="11"/>
      <c r="G123" s="11"/>
      <c r="H123" s="11"/>
    </row>
    <row r="124" ht="16" customHeight="1">
      <c r="A124" s="11"/>
      <c r="B124" s="11"/>
      <c r="C124" s="11"/>
      <c r="D124" s="11"/>
      <c r="E124" s="11"/>
      <c r="F124" s="11"/>
      <c r="G124" s="11"/>
      <c r="H124" s="11"/>
    </row>
    <row r="125" ht="16" customHeight="1">
      <c r="A125" s="11"/>
      <c r="B125" s="11"/>
      <c r="C125" s="11"/>
      <c r="D125" s="11"/>
      <c r="E125" s="11"/>
      <c r="F125" s="11"/>
      <c r="G125" s="11"/>
      <c r="H125" s="11"/>
    </row>
    <row r="126" ht="16" customHeight="1">
      <c r="A126" s="11"/>
      <c r="B126" s="11"/>
      <c r="C126" s="11"/>
      <c r="D126" s="11"/>
      <c r="E126" s="11"/>
      <c r="F126" s="11"/>
      <c r="G126" s="11"/>
      <c r="H126" s="11"/>
    </row>
    <row r="127" ht="16" customHeight="1">
      <c r="A127" s="11"/>
      <c r="B127" s="11"/>
      <c r="C127" s="11"/>
      <c r="D127" s="11"/>
      <c r="E127" s="11"/>
      <c r="F127" s="11"/>
      <c r="G127" s="11"/>
      <c r="H127" s="11"/>
    </row>
    <row r="128" ht="16" customHeight="1">
      <c r="A128" s="11"/>
      <c r="B128" s="11"/>
      <c r="C128" s="11"/>
      <c r="D128" s="11"/>
      <c r="E128" s="11"/>
      <c r="F128" s="11"/>
      <c r="G128" s="11"/>
      <c r="H128" s="11"/>
    </row>
    <row r="129" ht="16" customHeight="1">
      <c r="A129" s="11"/>
      <c r="B129" s="11"/>
      <c r="C129" s="11"/>
      <c r="D129" s="11"/>
      <c r="E129" s="11"/>
      <c r="F129" s="11"/>
      <c r="G129" s="11"/>
      <c r="H129" s="11"/>
    </row>
    <row r="130" ht="16" customHeight="1">
      <c r="A130" s="11"/>
      <c r="B130" s="11"/>
      <c r="C130" s="11"/>
      <c r="D130" s="11"/>
      <c r="E130" s="11"/>
      <c r="F130" s="11"/>
      <c r="G130" s="11"/>
      <c r="H130" s="11"/>
    </row>
    <row r="131" ht="16" customHeight="1">
      <c r="A131" s="11"/>
      <c r="B131" s="11"/>
      <c r="C131" s="11"/>
      <c r="D131" s="11"/>
      <c r="E131" s="11"/>
      <c r="F131" s="11"/>
      <c r="G131" s="11"/>
      <c r="H131" s="11"/>
    </row>
    <row r="132" ht="16" customHeight="1">
      <c r="A132" s="11"/>
      <c r="B132" s="11"/>
      <c r="C132" s="11"/>
      <c r="D132" s="11"/>
      <c r="E132" s="11"/>
      <c r="F132" s="11"/>
      <c r="G132" s="11"/>
      <c r="H132" s="11"/>
    </row>
    <row r="133" ht="16" customHeight="1">
      <c r="A133" s="11"/>
      <c r="B133" s="11"/>
      <c r="C133" s="11"/>
      <c r="D133" s="11"/>
      <c r="E133" s="11"/>
      <c r="F133" s="11"/>
      <c r="G133" s="11"/>
      <c r="H133" s="11"/>
    </row>
    <row r="134" ht="16" customHeight="1">
      <c r="A134" s="11"/>
      <c r="B134" s="11"/>
      <c r="C134" s="11"/>
      <c r="D134" s="11"/>
      <c r="E134" s="11"/>
      <c r="F134" s="11"/>
      <c r="G134" s="11"/>
      <c r="H134" s="11"/>
    </row>
    <row r="135" ht="16" customHeight="1">
      <c r="A135" s="11"/>
      <c r="B135" s="11"/>
      <c r="C135" s="11"/>
      <c r="D135" s="11"/>
      <c r="E135" s="11"/>
      <c r="F135" s="11"/>
      <c r="G135" s="11"/>
      <c r="H135" s="11"/>
    </row>
    <row r="136" ht="16" customHeight="1">
      <c r="A136" s="11"/>
      <c r="B136" s="11"/>
      <c r="C136" s="11"/>
      <c r="D136" s="11"/>
      <c r="E136" s="11"/>
      <c r="F136" s="11"/>
      <c r="G136" s="11"/>
      <c r="H136" s="11"/>
    </row>
    <row r="137" ht="16" customHeight="1">
      <c r="A137" s="11"/>
      <c r="B137" s="11"/>
      <c r="C137" s="11"/>
      <c r="D137" s="11"/>
      <c r="E137" s="11"/>
      <c r="F137" s="11"/>
      <c r="G137" s="11"/>
      <c r="H137" s="11"/>
    </row>
    <row r="138" ht="16" customHeight="1">
      <c r="A138" s="11"/>
      <c r="B138" s="11"/>
      <c r="C138" s="11"/>
      <c r="D138" s="11"/>
      <c r="E138" s="11"/>
      <c r="F138" s="11"/>
      <c r="G138" s="11"/>
      <c r="H138" s="11"/>
    </row>
    <row r="139" ht="16" customHeight="1">
      <c r="A139" s="11"/>
      <c r="B139" s="11"/>
      <c r="C139" s="11"/>
      <c r="D139" s="11"/>
      <c r="E139" s="11"/>
      <c r="F139" s="11"/>
      <c r="G139" s="11"/>
      <c r="H139" s="11"/>
    </row>
    <row r="140" ht="16" customHeight="1">
      <c r="A140" s="11"/>
      <c r="B140" s="11"/>
      <c r="C140" s="11"/>
      <c r="D140" s="11"/>
      <c r="E140" s="11"/>
      <c r="F140" s="11"/>
      <c r="G140" s="11"/>
      <c r="H140" s="11"/>
    </row>
    <row r="141" ht="16" customHeight="1">
      <c r="A141" s="11"/>
      <c r="B141" s="11"/>
      <c r="C141" s="11"/>
      <c r="D141" s="11"/>
      <c r="E141" s="11"/>
      <c r="F141" s="11"/>
      <c r="G141" s="11"/>
      <c r="H141" s="11"/>
    </row>
    <row r="142" ht="16" customHeight="1">
      <c r="A142" s="11"/>
      <c r="B142" s="11"/>
      <c r="C142" s="11"/>
      <c r="D142" s="11"/>
      <c r="E142" s="11"/>
      <c r="F142" s="11"/>
      <c r="G142" s="11"/>
      <c r="H142" s="11"/>
    </row>
    <row r="143" ht="16" customHeight="1">
      <c r="A143" s="11"/>
      <c r="B143" s="11"/>
      <c r="C143" s="11"/>
      <c r="D143" s="11"/>
      <c r="E143" s="11"/>
      <c r="F143" s="11"/>
      <c r="G143" s="11"/>
      <c r="H143" s="11"/>
    </row>
    <row r="144" ht="16" customHeight="1">
      <c r="A144" s="11"/>
      <c r="B144" s="11"/>
      <c r="C144" s="11"/>
      <c r="D144" s="11"/>
      <c r="E144" s="11"/>
      <c r="F144" s="11"/>
      <c r="G144" s="11"/>
      <c r="H144" s="11"/>
    </row>
    <row r="145" ht="16" customHeight="1">
      <c r="A145" s="11"/>
      <c r="B145" s="11"/>
      <c r="C145" s="11"/>
      <c r="D145" s="11"/>
      <c r="E145" s="11"/>
      <c r="F145" s="11"/>
      <c r="G145" s="11"/>
      <c r="H145" s="11"/>
    </row>
    <row r="146" ht="16" customHeight="1">
      <c r="A146" s="11"/>
      <c r="B146" s="11"/>
      <c r="C146" s="11"/>
      <c r="D146" s="11"/>
      <c r="E146" s="11"/>
      <c r="F146" s="11"/>
      <c r="G146" s="11"/>
      <c r="H146" s="11"/>
    </row>
    <row r="147" ht="16" customHeight="1">
      <c r="A147" s="11"/>
      <c r="B147" s="11"/>
      <c r="C147" s="11"/>
      <c r="D147" s="11"/>
      <c r="E147" s="11"/>
      <c r="F147" s="11"/>
      <c r="G147" s="11"/>
      <c r="H147" s="11"/>
    </row>
    <row r="148" ht="16" customHeight="1">
      <c r="A148" s="11"/>
      <c r="B148" s="11"/>
      <c r="C148" s="11"/>
      <c r="D148" s="11"/>
      <c r="E148" s="11"/>
      <c r="F148" s="11"/>
      <c r="G148" s="11"/>
      <c r="H148" s="11"/>
    </row>
    <row r="149" ht="16" customHeight="1">
      <c r="A149" s="11"/>
      <c r="B149" s="11"/>
      <c r="C149" s="11"/>
      <c r="D149" s="11"/>
      <c r="E149" s="11"/>
      <c r="F149" s="11"/>
      <c r="G149" s="11"/>
      <c r="H149" s="11"/>
    </row>
    <row r="150" ht="16" customHeight="1">
      <c r="A150" s="11"/>
      <c r="B150" s="11"/>
      <c r="C150" s="11"/>
      <c r="D150" s="11"/>
      <c r="E150" s="11"/>
      <c r="F150" s="11"/>
      <c r="G150" s="11"/>
      <c r="H150" s="11"/>
    </row>
    <row r="151" ht="16" customHeight="1">
      <c r="A151" s="11"/>
      <c r="B151" s="11"/>
      <c r="C151" s="11"/>
      <c r="D151" s="11"/>
      <c r="E151" s="11"/>
      <c r="F151" s="11"/>
      <c r="G151" s="11"/>
      <c r="H151" s="11"/>
    </row>
    <row r="152" ht="16" customHeight="1">
      <c r="A152" s="11"/>
      <c r="B152" s="11"/>
      <c r="C152" s="11"/>
      <c r="D152" s="11"/>
      <c r="E152" s="11"/>
      <c r="F152" s="11"/>
      <c r="G152" s="11"/>
      <c r="H152" s="11"/>
    </row>
    <row r="153" ht="16" customHeight="1">
      <c r="A153" s="11"/>
      <c r="B153" s="11"/>
      <c r="C153" s="11"/>
      <c r="D153" s="11"/>
      <c r="E153" s="11"/>
      <c r="F153" s="11"/>
      <c r="G153" s="11"/>
      <c r="H153" s="11"/>
    </row>
    <row r="154" ht="16" customHeight="1">
      <c r="A154" s="11"/>
      <c r="B154" s="11"/>
      <c r="C154" s="11"/>
      <c r="D154" s="11"/>
      <c r="E154" s="11"/>
      <c r="F154" s="11"/>
      <c r="G154" s="11"/>
      <c r="H154" s="11"/>
    </row>
    <row r="155" ht="16" customHeight="1">
      <c r="A155" s="11"/>
      <c r="B155" s="11"/>
      <c r="C155" s="11"/>
      <c r="D155" s="11"/>
      <c r="E155" s="11"/>
      <c r="F155" s="11"/>
      <c r="G155" s="11"/>
      <c r="H155" s="11"/>
    </row>
    <row r="156" ht="16" customHeight="1">
      <c r="A156" s="11"/>
      <c r="B156" s="11"/>
      <c r="C156" s="11"/>
      <c r="D156" s="11"/>
      <c r="E156" s="11"/>
      <c r="F156" s="11"/>
      <c r="G156" s="11"/>
      <c r="H156" s="11"/>
    </row>
    <row r="157" ht="16" customHeight="1">
      <c r="A157" s="11"/>
      <c r="B157" s="11"/>
      <c r="C157" s="11"/>
      <c r="D157" s="11"/>
      <c r="E157" s="11"/>
      <c r="F157" s="11"/>
      <c r="G157" s="11"/>
      <c r="H157" s="11"/>
    </row>
    <row r="158" ht="16" customHeight="1">
      <c r="A158" s="11"/>
      <c r="B158" s="11"/>
      <c r="C158" s="11"/>
      <c r="D158" s="11"/>
      <c r="E158" s="11"/>
      <c r="F158" s="11"/>
      <c r="G158" s="11"/>
      <c r="H158" s="11"/>
    </row>
    <row r="159" ht="16" customHeight="1">
      <c r="A159" s="11"/>
      <c r="B159" s="11"/>
      <c r="C159" s="11"/>
      <c r="D159" s="11"/>
      <c r="E159" s="11"/>
      <c r="F159" s="11"/>
      <c r="G159" s="11"/>
      <c r="H159" s="11"/>
    </row>
    <row r="160" ht="16" customHeight="1">
      <c r="A160" s="11"/>
      <c r="B160" s="11"/>
      <c r="C160" s="11"/>
      <c r="D160" s="11"/>
      <c r="E160" s="11"/>
      <c r="F160" s="11"/>
      <c r="G160" s="11"/>
      <c r="H160" s="11"/>
    </row>
    <row r="161" ht="16" customHeight="1">
      <c r="A161" s="11"/>
      <c r="B161" s="11"/>
      <c r="C161" s="11"/>
      <c r="D161" s="11"/>
      <c r="E161" s="11"/>
      <c r="F161" s="11"/>
      <c r="G161" s="11"/>
      <c r="H161" s="11"/>
    </row>
    <row r="162" ht="16" customHeight="1">
      <c r="A162" s="11"/>
      <c r="B162" s="11"/>
      <c r="C162" s="11"/>
      <c r="D162" s="11"/>
      <c r="E162" s="11"/>
      <c r="F162" s="11"/>
      <c r="G162" s="11"/>
      <c r="H162" s="11"/>
    </row>
    <row r="163" ht="16" customHeight="1">
      <c r="A163" s="11"/>
      <c r="B163" s="11"/>
      <c r="C163" s="11"/>
      <c r="D163" s="11"/>
      <c r="E163" s="11"/>
      <c r="F163" s="11"/>
      <c r="G163" s="11"/>
      <c r="H163" s="11"/>
    </row>
    <row r="164" ht="16" customHeight="1">
      <c r="A164" s="11"/>
      <c r="B164" s="11"/>
      <c r="C164" s="11"/>
      <c r="D164" s="11"/>
      <c r="E164" s="11"/>
      <c r="F164" s="11"/>
      <c r="G164" s="11"/>
      <c r="H164" s="11"/>
    </row>
    <row r="165" ht="16" customHeight="1">
      <c r="A165" s="11"/>
      <c r="B165" s="11"/>
      <c r="C165" s="11"/>
      <c r="D165" s="11"/>
      <c r="E165" s="11"/>
      <c r="F165" s="11"/>
      <c r="G165" s="11"/>
      <c r="H165" s="11"/>
    </row>
    <row r="166" ht="16" customHeight="1">
      <c r="A166" s="11"/>
      <c r="B166" s="11"/>
      <c r="C166" s="11"/>
      <c r="D166" s="11"/>
      <c r="E166" s="11"/>
      <c r="F166" s="11"/>
      <c r="G166" s="11"/>
      <c r="H166" s="11"/>
    </row>
    <row r="167" ht="16" customHeight="1">
      <c r="A167" s="11"/>
      <c r="B167" s="11"/>
      <c r="C167" s="11"/>
      <c r="D167" s="11"/>
      <c r="E167" s="11"/>
      <c r="F167" s="11"/>
      <c r="G167" s="11"/>
      <c r="H167" s="11"/>
    </row>
    <row r="168" ht="16" customHeight="1">
      <c r="A168" s="11"/>
      <c r="B168" s="11"/>
      <c r="C168" s="11"/>
      <c r="D168" s="11"/>
      <c r="E168" s="11"/>
      <c r="F168" s="11"/>
      <c r="G168" s="11"/>
      <c r="H168" s="11"/>
    </row>
    <row r="169" ht="16" customHeight="1">
      <c r="A169" s="11"/>
      <c r="B169" s="11"/>
      <c r="C169" s="11"/>
      <c r="D169" s="11"/>
      <c r="E169" s="11"/>
      <c r="F169" s="11"/>
      <c r="G169" s="11"/>
      <c r="H169" s="11"/>
    </row>
    <row r="170" ht="16" customHeight="1">
      <c r="A170" s="11"/>
      <c r="B170" s="11"/>
      <c r="C170" s="11"/>
      <c r="D170" s="11"/>
      <c r="E170" s="11"/>
      <c r="F170" s="11"/>
      <c r="G170" s="11"/>
      <c r="H170" s="11"/>
    </row>
    <row r="171" ht="16" customHeight="1">
      <c r="A171" s="11"/>
      <c r="B171" s="11"/>
      <c r="C171" s="11"/>
      <c r="D171" s="11"/>
      <c r="E171" s="11"/>
      <c r="F171" s="11"/>
      <c r="G171" s="11"/>
      <c r="H171" s="11"/>
    </row>
    <row r="172" ht="16" customHeight="1">
      <c r="A172" s="11"/>
      <c r="B172" s="11"/>
      <c r="C172" s="11"/>
      <c r="D172" s="11"/>
      <c r="E172" s="11"/>
      <c r="F172" s="11"/>
      <c r="G172" s="11"/>
      <c r="H172" s="11"/>
    </row>
    <row r="173" ht="16" customHeight="1">
      <c r="A173" s="11"/>
      <c r="B173" s="11"/>
      <c r="C173" s="11"/>
      <c r="D173" s="11"/>
      <c r="E173" s="11"/>
      <c r="F173" s="11"/>
      <c r="G173" s="11"/>
      <c r="H173" s="11"/>
    </row>
    <row r="174" ht="16" customHeight="1">
      <c r="A174" s="11"/>
      <c r="B174" s="11"/>
      <c r="C174" s="11"/>
      <c r="D174" s="11"/>
      <c r="E174" s="11"/>
      <c r="F174" s="11"/>
      <c r="G174" s="11"/>
      <c r="H174" s="11"/>
    </row>
    <row r="175" ht="16" customHeight="1">
      <c r="A175" s="11"/>
      <c r="B175" s="11"/>
      <c r="C175" s="11"/>
      <c r="D175" s="11"/>
      <c r="E175" s="11"/>
      <c r="F175" s="11"/>
      <c r="G175" s="11"/>
      <c r="H175" s="11"/>
    </row>
    <row r="176" ht="16" customHeight="1">
      <c r="A176" s="11"/>
      <c r="B176" s="11"/>
      <c r="C176" s="11"/>
      <c r="D176" s="11"/>
      <c r="E176" s="11"/>
      <c r="F176" s="11"/>
      <c r="G176" s="11"/>
      <c r="H176" s="11"/>
    </row>
    <row r="177" ht="16" customHeight="1">
      <c r="A177" s="11"/>
      <c r="B177" s="11"/>
      <c r="C177" s="11"/>
      <c r="D177" s="11"/>
      <c r="E177" s="11"/>
      <c r="F177" s="11"/>
      <c r="G177" s="11"/>
      <c r="H177" s="11"/>
    </row>
    <row r="178" ht="16" customHeight="1">
      <c r="A178" s="11"/>
      <c r="B178" s="11"/>
      <c r="C178" s="11"/>
      <c r="D178" s="11"/>
      <c r="E178" s="11"/>
      <c r="F178" s="11"/>
      <c r="G178" s="11"/>
      <c r="H178" s="11"/>
    </row>
    <row r="179" ht="16" customHeight="1">
      <c r="A179" s="11"/>
      <c r="B179" s="11"/>
      <c r="C179" s="11"/>
      <c r="D179" s="11"/>
      <c r="E179" s="11"/>
      <c r="F179" s="11"/>
      <c r="G179" s="11"/>
      <c r="H179" s="11"/>
    </row>
    <row r="180" ht="16" customHeight="1">
      <c r="A180" s="11"/>
      <c r="B180" s="11"/>
      <c r="C180" s="11"/>
      <c r="D180" s="11"/>
      <c r="E180" s="11"/>
      <c r="F180" s="11"/>
      <c r="G180" s="11"/>
      <c r="H180" s="11"/>
    </row>
    <row r="181" ht="16" customHeight="1">
      <c r="A181" s="11"/>
      <c r="B181" s="11"/>
      <c r="C181" s="11"/>
      <c r="D181" s="11"/>
      <c r="E181" s="11"/>
      <c r="F181" s="11"/>
      <c r="G181" s="11"/>
      <c r="H181" s="11"/>
    </row>
    <row r="182" ht="16" customHeight="1">
      <c r="A182" s="11"/>
      <c r="B182" s="11"/>
      <c r="C182" s="11"/>
      <c r="D182" s="11"/>
      <c r="E182" s="11"/>
      <c r="F182" s="11"/>
      <c r="G182" s="11"/>
      <c r="H182" s="11"/>
    </row>
    <row r="183" ht="16" customHeight="1">
      <c r="A183" s="11"/>
      <c r="B183" s="11"/>
      <c r="C183" s="11"/>
      <c r="D183" s="11"/>
      <c r="E183" s="11"/>
      <c r="F183" s="11"/>
      <c r="G183" s="11"/>
      <c r="H183" s="11"/>
    </row>
    <row r="184" ht="16" customHeight="1">
      <c r="A184" s="11"/>
      <c r="B184" s="11"/>
      <c r="C184" s="11"/>
      <c r="D184" s="11"/>
      <c r="E184" s="11"/>
      <c r="F184" s="11"/>
      <c r="G184" s="11"/>
      <c r="H184" s="11"/>
    </row>
    <row r="185" ht="16" customHeight="1">
      <c r="A185" s="11"/>
      <c r="B185" s="11"/>
      <c r="C185" s="11"/>
      <c r="D185" s="11"/>
      <c r="E185" s="11"/>
      <c r="F185" s="11"/>
      <c r="G185" s="11"/>
      <c r="H185" s="11"/>
    </row>
    <row r="186" ht="16" customHeight="1">
      <c r="A186" s="11"/>
      <c r="B186" s="11"/>
      <c r="C186" s="11"/>
      <c r="D186" s="11"/>
      <c r="E186" s="11"/>
      <c r="F186" s="11"/>
      <c r="G186" s="11"/>
      <c r="H186" s="11"/>
    </row>
    <row r="187" ht="16" customHeight="1">
      <c r="A187" s="11"/>
      <c r="B187" s="11"/>
      <c r="C187" s="11"/>
      <c r="D187" s="11"/>
      <c r="E187" s="11"/>
      <c r="F187" s="11"/>
      <c r="G187" s="11"/>
      <c r="H187" s="11"/>
    </row>
    <row r="188" ht="16" customHeight="1">
      <c r="A188" s="11"/>
      <c r="B188" s="11"/>
      <c r="C188" s="11"/>
      <c r="D188" s="11"/>
      <c r="E188" s="11"/>
      <c r="F188" s="11"/>
      <c r="G188" s="11"/>
      <c r="H188" s="11"/>
    </row>
    <row r="189" ht="16" customHeight="1">
      <c r="A189" s="11"/>
      <c r="B189" s="11"/>
      <c r="C189" s="11"/>
      <c r="D189" s="11"/>
      <c r="E189" s="11"/>
      <c r="F189" s="11"/>
      <c r="G189" s="11"/>
      <c r="H189" s="11"/>
    </row>
    <row r="190" ht="16" customHeight="1">
      <c r="A190" s="11"/>
      <c r="B190" s="11"/>
      <c r="C190" s="11"/>
      <c r="D190" s="11"/>
      <c r="E190" s="11"/>
      <c r="F190" s="11"/>
      <c r="G190" s="11"/>
      <c r="H190" s="11"/>
    </row>
    <row r="191" ht="16" customHeight="1">
      <c r="A191" s="11"/>
      <c r="B191" s="11"/>
      <c r="C191" s="11"/>
      <c r="D191" s="11"/>
      <c r="E191" s="11"/>
      <c r="F191" s="11"/>
      <c r="G191" s="11"/>
      <c r="H191" s="11"/>
    </row>
    <row r="192" ht="16" customHeight="1">
      <c r="A192" s="11"/>
      <c r="B192" s="11"/>
      <c r="C192" s="11"/>
      <c r="D192" s="11"/>
      <c r="E192" s="11"/>
      <c r="F192" s="11"/>
      <c r="G192" s="11"/>
      <c r="H192" s="11"/>
    </row>
    <row r="193" ht="16" customHeight="1">
      <c r="A193" s="11"/>
      <c r="B193" s="11"/>
      <c r="C193" s="11"/>
      <c r="D193" s="11"/>
      <c r="E193" s="11"/>
      <c r="F193" s="11"/>
      <c r="G193" s="11"/>
      <c r="H193" s="11"/>
    </row>
    <row r="194" ht="16" customHeight="1">
      <c r="A194" s="11"/>
      <c r="B194" s="11"/>
      <c r="C194" s="11"/>
      <c r="D194" s="11"/>
      <c r="E194" s="11"/>
      <c r="F194" s="11"/>
      <c r="G194" s="11"/>
      <c r="H194" s="11"/>
    </row>
    <row r="195" ht="16" customHeight="1">
      <c r="A195" s="11"/>
      <c r="B195" s="11"/>
      <c r="C195" s="11"/>
      <c r="D195" s="11"/>
      <c r="E195" s="11"/>
      <c r="F195" s="11"/>
      <c r="G195" s="11"/>
      <c r="H195" s="11"/>
    </row>
    <row r="196" ht="16" customHeight="1">
      <c r="A196" s="11"/>
      <c r="B196" s="11"/>
      <c r="C196" s="11"/>
      <c r="D196" s="11"/>
      <c r="E196" s="11"/>
      <c r="F196" s="11"/>
      <c r="G196" s="11"/>
      <c r="H196" s="11"/>
    </row>
    <row r="197" ht="16" customHeight="1">
      <c r="A197" s="11"/>
      <c r="B197" s="11"/>
      <c r="C197" s="11"/>
      <c r="D197" s="11"/>
      <c r="E197" s="11"/>
      <c r="F197" s="11"/>
      <c r="G197" s="11"/>
      <c r="H197" s="11"/>
    </row>
    <row r="198" ht="16" customHeight="1">
      <c r="A198" s="11"/>
      <c r="B198" s="11"/>
      <c r="C198" s="11"/>
      <c r="D198" s="11"/>
      <c r="E198" s="11"/>
      <c r="F198" s="11"/>
      <c r="G198" s="11"/>
      <c r="H198" s="11"/>
    </row>
    <row r="199" ht="16" customHeight="1">
      <c r="A199" s="11"/>
      <c r="B199" s="11"/>
      <c r="C199" s="11"/>
      <c r="D199" s="11"/>
      <c r="E199" s="11"/>
      <c r="F199" s="11"/>
      <c r="G199" s="11"/>
      <c r="H199" s="11"/>
    </row>
    <row r="200" ht="16" customHeight="1">
      <c r="A200" s="11"/>
      <c r="B200" s="11"/>
      <c r="C200" s="11"/>
      <c r="D200" s="11"/>
      <c r="E200" s="11"/>
      <c r="F200" s="11"/>
      <c r="G200" s="11"/>
      <c r="H200" s="11"/>
    </row>
    <row r="201" ht="16" customHeight="1">
      <c r="A201" s="11"/>
      <c r="B201" s="11"/>
      <c r="C201" s="11"/>
      <c r="D201" s="11"/>
      <c r="E201" s="11"/>
      <c r="F201" s="11"/>
      <c r="G201" s="11"/>
      <c r="H201" s="11"/>
    </row>
    <row r="202" ht="16" customHeight="1">
      <c r="A202" s="11"/>
      <c r="B202" s="11"/>
      <c r="C202" s="11"/>
      <c r="D202" s="11"/>
      <c r="E202" s="11"/>
      <c r="F202" s="11"/>
      <c r="G202" s="11"/>
      <c r="H202" s="11"/>
    </row>
    <row r="203" ht="16" customHeight="1">
      <c r="A203" s="11"/>
      <c r="B203" s="11"/>
      <c r="C203" s="11"/>
      <c r="D203" s="11"/>
      <c r="E203" s="11"/>
      <c r="F203" s="11"/>
      <c r="G203" s="11"/>
      <c r="H203" s="11"/>
    </row>
    <row r="204" ht="16" customHeight="1">
      <c r="A204" s="11"/>
      <c r="B204" s="11"/>
      <c r="C204" s="11"/>
      <c r="D204" s="11"/>
      <c r="E204" s="11"/>
      <c r="F204" s="11"/>
      <c r="G204" s="11"/>
      <c r="H204" s="11"/>
    </row>
    <row r="205" ht="16" customHeight="1">
      <c r="A205" s="11"/>
      <c r="B205" s="11"/>
      <c r="C205" s="11"/>
      <c r="D205" s="11"/>
      <c r="E205" s="11"/>
      <c r="F205" s="11"/>
      <c r="G205" s="11"/>
      <c r="H205" s="11"/>
    </row>
    <row r="206" ht="16" customHeight="1">
      <c r="A206" s="11"/>
      <c r="B206" s="11"/>
      <c r="C206" s="11"/>
      <c r="D206" s="11"/>
      <c r="E206" s="11"/>
      <c r="F206" s="11"/>
      <c r="G206" s="11"/>
      <c r="H206" s="11"/>
    </row>
    <row r="207" ht="16" customHeight="1">
      <c r="A207" s="11"/>
      <c r="B207" s="11"/>
      <c r="C207" s="11"/>
      <c r="D207" s="11"/>
      <c r="E207" s="11"/>
      <c r="F207" s="11"/>
      <c r="G207" s="11"/>
      <c r="H207" s="11"/>
    </row>
    <row r="208" ht="16" customHeight="1">
      <c r="A208" s="11"/>
      <c r="B208" s="11"/>
      <c r="C208" s="11"/>
      <c r="D208" s="11"/>
      <c r="E208" s="11"/>
      <c r="F208" s="11"/>
      <c r="G208" s="11"/>
      <c r="H208" s="11"/>
    </row>
    <row r="209" ht="16" customHeight="1">
      <c r="A209" s="11"/>
      <c r="B209" s="11"/>
      <c r="C209" s="11"/>
      <c r="D209" s="11"/>
      <c r="E209" s="11"/>
      <c r="F209" s="11"/>
      <c r="G209" s="11"/>
      <c r="H209" s="11"/>
    </row>
    <row r="210" ht="16" customHeight="1">
      <c r="A210" s="11"/>
      <c r="B210" s="11"/>
      <c r="C210" s="11"/>
      <c r="D210" s="11"/>
      <c r="E210" s="11"/>
      <c r="F210" s="11"/>
      <c r="G210" s="11"/>
      <c r="H210" s="11"/>
    </row>
    <row r="211" ht="16" customHeight="1">
      <c r="A211" s="11"/>
      <c r="B211" s="11"/>
      <c r="C211" s="11"/>
      <c r="D211" s="11"/>
      <c r="E211" s="11"/>
      <c r="F211" s="11"/>
      <c r="G211" s="11"/>
      <c r="H211" s="11"/>
    </row>
    <row r="212" ht="16" customHeight="1">
      <c r="A212" s="11"/>
      <c r="B212" s="11"/>
      <c r="C212" s="11"/>
      <c r="D212" s="11"/>
      <c r="E212" s="11"/>
      <c r="F212" s="11"/>
      <c r="G212" s="11"/>
      <c r="H212" s="11"/>
    </row>
    <row r="213" ht="16" customHeight="1">
      <c r="A213" s="11"/>
      <c r="B213" s="11"/>
      <c r="C213" s="11"/>
      <c r="D213" s="11"/>
      <c r="E213" s="11"/>
      <c r="F213" s="11"/>
      <c r="G213" s="11"/>
      <c r="H213" s="11"/>
    </row>
    <row r="214" ht="16" customHeight="1">
      <c r="A214" s="11"/>
      <c r="B214" s="11"/>
      <c r="C214" s="11"/>
      <c r="D214" s="11"/>
      <c r="E214" s="11"/>
      <c r="F214" s="11"/>
      <c r="G214" s="11"/>
      <c r="H214" s="11"/>
    </row>
    <row r="215" ht="16" customHeight="1">
      <c r="A215" s="11"/>
      <c r="B215" s="11"/>
      <c r="C215" s="11"/>
      <c r="D215" s="11"/>
      <c r="E215" s="11"/>
      <c r="F215" s="11"/>
      <c r="G215" s="11"/>
      <c r="H215" s="11"/>
    </row>
    <row r="216" ht="16" customHeight="1">
      <c r="A216" s="11"/>
      <c r="B216" s="11"/>
      <c r="C216" s="11"/>
      <c r="D216" s="11"/>
      <c r="E216" s="11"/>
      <c r="F216" s="11"/>
      <c r="G216" s="11"/>
      <c r="H216" s="11"/>
    </row>
    <row r="217" ht="16" customHeight="1">
      <c r="A217" s="11"/>
      <c r="B217" s="11"/>
      <c r="C217" s="11"/>
      <c r="D217" s="11"/>
      <c r="E217" s="11"/>
      <c r="F217" s="11"/>
      <c r="G217" s="11"/>
      <c r="H217" s="11"/>
    </row>
    <row r="218" ht="16" customHeight="1">
      <c r="A218" s="11"/>
      <c r="B218" s="11"/>
      <c r="C218" s="11"/>
      <c r="D218" s="11"/>
      <c r="E218" s="11"/>
      <c r="F218" s="11"/>
      <c r="G218" s="11"/>
      <c r="H218" s="11"/>
    </row>
    <row r="219" ht="16" customHeight="1">
      <c r="A219" s="11"/>
      <c r="B219" s="11"/>
      <c r="C219" s="11"/>
      <c r="D219" s="11"/>
      <c r="E219" s="11"/>
      <c r="F219" s="11"/>
      <c r="G219" s="11"/>
      <c r="H219" s="11"/>
    </row>
    <row r="220" ht="16" customHeight="1">
      <c r="A220" s="11"/>
      <c r="B220" s="11"/>
      <c r="C220" s="11"/>
      <c r="D220" s="11"/>
      <c r="E220" s="11"/>
      <c r="F220" s="11"/>
      <c r="G220" s="11"/>
      <c r="H220" s="11"/>
    </row>
    <row r="221" ht="16" customHeight="1">
      <c r="A221" s="11"/>
      <c r="B221" s="11"/>
      <c r="C221" s="11"/>
      <c r="D221" s="11"/>
      <c r="E221" s="11"/>
      <c r="F221" s="11"/>
      <c r="G221" s="11"/>
      <c r="H221" s="11"/>
    </row>
    <row r="222" ht="16" customHeight="1">
      <c r="A222" s="11"/>
      <c r="B222" s="11"/>
      <c r="C222" s="11"/>
      <c r="D222" s="11"/>
      <c r="E222" s="11"/>
      <c r="F222" s="11"/>
      <c r="G222" s="11"/>
      <c r="H222" s="11"/>
    </row>
    <row r="223" ht="16" customHeight="1">
      <c r="A223" s="11"/>
      <c r="B223" s="11"/>
      <c r="C223" s="11"/>
      <c r="D223" s="11"/>
      <c r="E223" s="11"/>
      <c r="F223" s="11"/>
      <c r="G223" s="11"/>
      <c r="H223" s="11"/>
    </row>
    <row r="224" ht="16" customHeight="1">
      <c r="A224" s="11"/>
      <c r="B224" s="11"/>
      <c r="C224" s="11"/>
      <c r="D224" s="11"/>
      <c r="E224" s="11"/>
      <c r="F224" s="11"/>
      <c r="G224" s="11"/>
      <c r="H224" s="11"/>
    </row>
    <row r="225" ht="16" customHeight="1">
      <c r="A225" s="11"/>
      <c r="B225" s="11"/>
      <c r="C225" s="11"/>
      <c r="D225" s="11"/>
      <c r="E225" s="11"/>
      <c r="F225" s="11"/>
      <c r="G225" s="11"/>
      <c r="H225" s="11"/>
    </row>
    <row r="226" ht="16" customHeight="1">
      <c r="A226" s="11"/>
      <c r="B226" s="11"/>
      <c r="C226" s="11"/>
      <c r="D226" s="11"/>
      <c r="E226" s="11"/>
      <c r="F226" s="11"/>
      <c r="G226" s="11"/>
      <c r="H226" s="11"/>
    </row>
    <row r="227" ht="16" customHeight="1">
      <c r="A227" s="11"/>
      <c r="B227" s="11"/>
      <c r="C227" s="11"/>
      <c r="D227" s="11"/>
      <c r="E227" s="11"/>
      <c r="F227" s="11"/>
      <c r="G227" s="11"/>
      <c r="H227" s="11"/>
    </row>
    <row r="228" ht="16" customHeight="1">
      <c r="A228" s="11"/>
      <c r="B228" s="11"/>
      <c r="C228" s="11"/>
      <c r="D228" s="11"/>
      <c r="E228" s="11"/>
      <c r="F228" s="11"/>
      <c r="G228" s="11"/>
      <c r="H228" s="11"/>
    </row>
    <row r="229" ht="16" customHeight="1">
      <c r="A229" s="11"/>
      <c r="B229" s="11"/>
      <c r="C229" s="11"/>
      <c r="D229" s="11"/>
      <c r="E229" s="11"/>
      <c r="F229" s="11"/>
      <c r="G229" s="11"/>
      <c r="H229" s="11"/>
    </row>
    <row r="230" ht="16" customHeight="1">
      <c r="A230" s="11"/>
      <c r="B230" s="11"/>
      <c r="C230" s="11"/>
      <c r="D230" s="11"/>
      <c r="E230" s="11"/>
      <c r="F230" s="11"/>
      <c r="G230" s="11"/>
      <c r="H230" s="11"/>
    </row>
    <row r="231" ht="16" customHeight="1">
      <c r="A231" s="11"/>
      <c r="B231" s="11"/>
      <c r="C231" s="11"/>
      <c r="D231" s="11"/>
      <c r="E231" s="11"/>
      <c r="F231" s="11"/>
      <c r="G231" s="11"/>
      <c r="H231" s="11"/>
    </row>
    <row r="232" ht="16" customHeight="1">
      <c r="A232" s="11"/>
      <c r="B232" s="11"/>
      <c r="C232" s="11"/>
      <c r="D232" s="11"/>
      <c r="E232" s="11"/>
      <c r="F232" s="11"/>
      <c r="G232" s="11"/>
      <c r="H232" s="11"/>
    </row>
    <row r="233" ht="16" customHeight="1">
      <c r="A233" s="11"/>
      <c r="B233" s="11"/>
      <c r="C233" s="11"/>
      <c r="D233" s="11"/>
      <c r="E233" s="11"/>
      <c r="F233" s="11"/>
      <c r="G233" s="11"/>
      <c r="H233" s="11"/>
    </row>
    <row r="234" ht="16" customHeight="1">
      <c r="A234" s="11"/>
      <c r="B234" s="11"/>
      <c r="C234" s="11"/>
      <c r="D234" s="11"/>
      <c r="E234" s="11"/>
      <c r="F234" s="11"/>
      <c r="G234" s="11"/>
      <c r="H234" s="11"/>
    </row>
    <row r="235" ht="16" customHeight="1">
      <c r="A235" s="11"/>
      <c r="B235" s="11"/>
      <c r="C235" s="11"/>
      <c r="D235" s="11"/>
      <c r="E235" s="11"/>
      <c r="F235" s="11"/>
      <c r="G235" s="11"/>
      <c r="H235" s="11"/>
    </row>
    <row r="236" ht="16" customHeight="1">
      <c r="A236" s="11"/>
      <c r="B236" s="11"/>
      <c r="C236" s="11"/>
      <c r="D236" s="11"/>
      <c r="E236" s="11"/>
      <c r="F236" s="11"/>
      <c r="G236" s="11"/>
      <c r="H236" s="11"/>
    </row>
    <row r="237" ht="16" customHeight="1">
      <c r="A237" s="11"/>
      <c r="B237" s="11"/>
      <c r="C237" s="11"/>
      <c r="D237" s="11"/>
      <c r="E237" s="11"/>
      <c r="F237" s="11"/>
      <c r="G237" s="11"/>
      <c r="H237" s="11"/>
    </row>
    <row r="238" ht="16" customHeight="1">
      <c r="A238" s="11"/>
      <c r="B238" s="11"/>
      <c r="C238" s="11"/>
      <c r="D238" s="11"/>
      <c r="E238" s="11"/>
      <c r="F238" s="11"/>
      <c r="G238" s="11"/>
      <c r="H238" s="11"/>
    </row>
    <row r="239" ht="16" customHeight="1">
      <c r="A239" s="11"/>
      <c r="B239" s="11"/>
      <c r="C239" s="11"/>
      <c r="D239" s="11"/>
      <c r="E239" s="11"/>
      <c r="F239" s="11"/>
      <c r="G239" s="11"/>
      <c r="H239" s="11"/>
    </row>
    <row r="240" ht="16" customHeight="1">
      <c r="A240" s="11"/>
      <c r="B240" s="11"/>
      <c r="C240" s="11"/>
      <c r="D240" s="11"/>
      <c r="E240" s="11"/>
      <c r="F240" s="11"/>
      <c r="G240" s="11"/>
      <c r="H240" s="11"/>
    </row>
    <row r="241" ht="16" customHeight="1">
      <c r="A241" s="11"/>
      <c r="B241" s="11"/>
      <c r="C241" s="11"/>
      <c r="D241" s="11"/>
      <c r="E241" s="11"/>
      <c r="F241" s="11"/>
      <c r="G241" s="11"/>
      <c r="H241" s="11"/>
    </row>
    <row r="242" ht="16" customHeight="1">
      <c r="A242" s="11"/>
      <c r="B242" s="11"/>
      <c r="C242" s="11"/>
      <c r="D242" s="11"/>
      <c r="E242" s="11"/>
      <c r="F242" s="11"/>
      <c r="G242" s="11"/>
      <c r="H242" s="11"/>
    </row>
    <row r="243" ht="16" customHeight="1">
      <c r="A243" s="11"/>
      <c r="B243" s="11"/>
      <c r="C243" s="11"/>
      <c r="D243" s="11"/>
      <c r="E243" s="11"/>
      <c r="F243" s="11"/>
      <c r="G243" s="11"/>
      <c r="H243" s="11"/>
    </row>
    <row r="244" ht="16" customHeight="1">
      <c r="A244" s="11"/>
      <c r="B244" s="11"/>
      <c r="C244" s="11"/>
      <c r="D244" s="11"/>
      <c r="E244" s="11"/>
      <c r="F244" s="11"/>
      <c r="G244" s="11"/>
      <c r="H244" s="11"/>
    </row>
    <row r="245" ht="16" customHeight="1">
      <c r="A245" s="11"/>
      <c r="B245" s="11"/>
      <c r="C245" s="11"/>
      <c r="D245" s="11"/>
      <c r="E245" s="11"/>
      <c r="F245" s="11"/>
      <c r="G245" s="11"/>
      <c r="H245" s="11"/>
    </row>
    <row r="246" ht="16" customHeight="1">
      <c r="A246" s="11"/>
      <c r="B246" s="11"/>
      <c r="C246" s="11"/>
      <c r="D246" s="11"/>
      <c r="E246" s="11"/>
      <c r="F246" s="11"/>
      <c r="G246" s="11"/>
      <c r="H246" s="11"/>
    </row>
    <row r="247" ht="16" customHeight="1">
      <c r="A247" s="11"/>
      <c r="B247" s="11"/>
      <c r="C247" s="11"/>
      <c r="D247" s="11"/>
      <c r="E247" s="11"/>
      <c r="F247" s="11"/>
      <c r="G247" s="11"/>
      <c r="H247" s="11"/>
    </row>
    <row r="248" ht="16" customHeight="1">
      <c r="A248" s="11"/>
      <c r="B248" s="11"/>
      <c r="C248" s="11"/>
      <c r="D248" s="11"/>
      <c r="E248" s="11"/>
      <c r="F248" s="11"/>
      <c r="G248" s="11"/>
      <c r="H248" s="11"/>
    </row>
    <row r="249" ht="16" customHeight="1">
      <c r="A249" s="11"/>
      <c r="B249" s="11"/>
      <c r="C249" s="11"/>
      <c r="D249" s="11"/>
      <c r="E249" s="11"/>
      <c r="F249" s="11"/>
      <c r="G249" s="11"/>
      <c r="H249" s="11"/>
    </row>
    <row r="250" ht="16" customHeight="1">
      <c r="A250" s="11"/>
      <c r="B250" s="11"/>
      <c r="C250" s="11"/>
      <c r="D250" s="11"/>
      <c r="E250" s="11"/>
      <c r="F250" s="11"/>
      <c r="G250" s="11"/>
      <c r="H250" s="11"/>
    </row>
    <row r="251" ht="16" customHeight="1">
      <c r="A251" s="11"/>
      <c r="B251" s="11"/>
      <c r="C251" s="11"/>
      <c r="D251" s="11"/>
      <c r="E251" s="11"/>
      <c r="F251" s="11"/>
      <c r="G251" s="11"/>
      <c r="H251" s="11"/>
    </row>
    <row r="252" ht="16" customHeight="1">
      <c r="A252" s="11"/>
      <c r="B252" s="11"/>
      <c r="C252" s="11"/>
      <c r="D252" s="11"/>
      <c r="E252" s="11"/>
      <c r="F252" s="11"/>
      <c r="G252" s="11"/>
      <c r="H252" s="11"/>
    </row>
    <row r="253" ht="16" customHeight="1">
      <c r="A253" s="11"/>
      <c r="B253" s="11"/>
      <c r="C253" s="11"/>
      <c r="D253" s="11"/>
      <c r="E253" s="11"/>
      <c r="F253" s="11"/>
      <c r="G253" s="11"/>
      <c r="H253" s="11"/>
    </row>
    <row r="254" ht="16" customHeight="1">
      <c r="A254" s="11"/>
      <c r="B254" s="11"/>
      <c r="C254" s="11"/>
      <c r="D254" s="11"/>
      <c r="E254" s="11"/>
      <c r="F254" s="11"/>
      <c r="G254" s="11"/>
      <c r="H254" s="11"/>
    </row>
    <row r="255" ht="16" customHeight="1">
      <c r="A255" s="11"/>
      <c r="B255" s="11"/>
      <c r="C255" s="11"/>
      <c r="D255" s="11"/>
      <c r="E255" s="11"/>
      <c r="F255" s="11"/>
      <c r="G255" s="11"/>
      <c r="H255" s="11"/>
    </row>
    <row r="256" ht="16" customHeight="1">
      <c r="A256" s="11"/>
      <c r="B256" s="11"/>
      <c r="C256" s="11"/>
      <c r="D256" s="11"/>
      <c r="E256" s="11"/>
      <c r="F256" s="11"/>
      <c r="G256" s="11"/>
      <c r="H256" s="11"/>
    </row>
    <row r="257" ht="16" customHeight="1">
      <c r="A257" s="11"/>
      <c r="B257" s="11"/>
      <c r="C257" s="11"/>
      <c r="D257" s="11"/>
      <c r="E257" s="11"/>
      <c r="F257" s="11"/>
      <c r="G257" s="11"/>
      <c r="H257" s="11"/>
    </row>
    <row r="258" ht="16" customHeight="1">
      <c r="A258" s="11"/>
      <c r="B258" s="11"/>
      <c r="C258" s="11"/>
      <c r="D258" s="11"/>
      <c r="E258" s="11"/>
      <c r="F258" s="11"/>
      <c r="G258" s="11"/>
      <c r="H258" s="11"/>
    </row>
    <row r="259" ht="16" customHeight="1">
      <c r="A259" s="11"/>
      <c r="B259" s="11"/>
      <c r="C259" s="11"/>
      <c r="D259" s="11"/>
      <c r="E259" s="11"/>
      <c r="F259" s="11"/>
      <c r="G259" s="11"/>
      <c r="H259" s="11"/>
    </row>
    <row r="260" ht="16" customHeight="1">
      <c r="A260" s="11"/>
      <c r="B260" s="11"/>
      <c r="C260" s="11"/>
      <c r="D260" s="11"/>
      <c r="E260" s="11"/>
      <c r="F260" s="11"/>
      <c r="G260" s="11"/>
      <c r="H260" s="11"/>
    </row>
    <row r="261" ht="16" customHeight="1">
      <c r="A261" s="11"/>
      <c r="B261" s="11"/>
      <c r="C261" s="11"/>
      <c r="D261" s="11"/>
      <c r="E261" s="11"/>
      <c r="F261" s="11"/>
      <c r="G261" s="11"/>
      <c r="H261" s="11"/>
    </row>
    <row r="262" ht="16" customHeight="1">
      <c r="A262" s="11"/>
      <c r="B262" s="11"/>
      <c r="C262" s="11"/>
      <c r="D262" s="11"/>
      <c r="E262" s="11"/>
      <c r="F262" s="11"/>
      <c r="G262" s="11"/>
      <c r="H262" s="11"/>
    </row>
    <row r="263" ht="16" customHeight="1">
      <c r="A263" s="11"/>
      <c r="B263" s="11"/>
      <c r="C263" s="11"/>
      <c r="D263" s="11"/>
      <c r="E263" s="11"/>
      <c r="F263" s="11"/>
      <c r="G263" s="11"/>
      <c r="H263" s="11"/>
    </row>
    <row r="264" ht="16" customHeight="1">
      <c r="A264" s="11"/>
      <c r="B264" s="11"/>
      <c r="C264" s="11"/>
      <c r="D264" s="11"/>
      <c r="E264" s="11"/>
      <c r="F264" s="11"/>
      <c r="G264" s="11"/>
      <c r="H264" s="11"/>
    </row>
    <row r="265" ht="16" customHeight="1">
      <c r="A265" s="11"/>
      <c r="B265" s="11"/>
      <c r="C265" s="11"/>
      <c r="D265" s="11"/>
      <c r="E265" s="11"/>
      <c r="F265" s="11"/>
      <c r="G265" s="11"/>
      <c r="H265" s="11"/>
    </row>
    <row r="266" ht="16" customHeight="1">
      <c r="A266" s="11"/>
      <c r="B266" s="11"/>
      <c r="C266" s="11"/>
      <c r="D266" s="11"/>
      <c r="E266" s="11"/>
      <c r="F266" s="11"/>
      <c r="G266" s="11"/>
      <c r="H266" s="11"/>
    </row>
    <row r="267" ht="16" customHeight="1">
      <c r="A267" s="11"/>
      <c r="B267" s="11"/>
      <c r="C267" s="11"/>
      <c r="D267" s="11"/>
      <c r="E267" s="11"/>
      <c r="F267" s="11"/>
      <c r="G267" s="11"/>
      <c r="H267" s="11"/>
    </row>
    <row r="268" ht="16" customHeight="1">
      <c r="A268" s="11"/>
      <c r="B268" s="11"/>
      <c r="C268" s="11"/>
      <c r="D268" s="11"/>
      <c r="E268" s="11"/>
      <c r="F268" s="11"/>
      <c r="G268" s="11"/>
      <c r="H268" s="11"/>
    </row>
    <row r="269" ht="16" customHeight="1">
      <c r="A269" s="11"/>
      <c r="B269" s="11"/>
      <c r="C269" s="11"/>
      <c r="D269" s="11"/>
      <c r="E269" s="11"/>
      <c r="F269" s="11"/>
      <c r="G269" s="11"/>
      <c r="H269" s="11"/>
    </row>
    <row r="270" ht="16" customHeight="1">
      <c r="A270" s="11"/>
      <c r="B270" s="11"/>
      <c r="C270" s="11"/>
      <c r="D270" s="11"/>
      <c r="E270" s="11"/>
      <c r="F270" s="11"/>
      <c r="G270" s="11"/>
      <c r="H270" s="11"/>
    </row>
    <row r="271" ht="16" customHeight="1">
      <c r="A271" s="11"/>
      <c r="B271" s="11"/>
      <c r="C271" s="11"/>
      <c r="D271" s="11"/>
      <c r="E271" s="11"/>
      <c r="F271" s="11"/>
      <c r="G271" s="11"/>
      <c r="H271" s="11"/>
    </row>
    <row r="272" ht="16" customHeight="1">
      <c r="A272" s="11"/>
      <c r="B272" s="11"/>
      <c r="C272" s="11"/>
      <c r="D272" s="11"/>
      <c r="E272" s="11"/>
      <c r="F272" s="11"/>
      <c r="G272" s="11"/>
      <c r="H272" s="11"/>
    </row>
    <row r="273" ht="16" customHeight="1">
      <c r="A273" s="11"/>
      <c r="B273" s="11"/>
      <c r="C273" s="11"/>
      <c r="D273" s="11"/>
      <c r="E273" s="11"/>
      <c r="F273" s="11"/>
      <c r="G273" s="11"/>
      <c r="H273" s="11"/>
    </row>
    <row r="274" ht="16" customHeight="1">
      <c r="A274" s="11"/>
      <c r="B274" s="11"/>
      <c r="C274" s="11"/>
      <c r="D274" s="11"/>
      <c r="E274" s="11"/>
      <c r="F274" s="11"/>
      <c r="G274" s="11"/>
      <c r="H274" s="11"/>
    </row>
    <row r="275" ht="16" customHeight="1">
      <c r="A275" s="11"/>
      <c r="B275" s="11"/>
      <c r="C275" s="11"/>
      <c r="D275" s="11"/>
      <c r="E275" s="11"/>
      <c r="F275" s="11"/>
      <c r="G275" s="11"/>
      <c r="H275" s="11"/>
    </row>
    <row r="276" ht="16" customHeight="1">
      <c r="A276" s="11"/>
      <c r="B276" s="11"/>
      <c r="C276" s="11"/>
      <c r="D276" s="11"/>
      <c r="E276" s="11"/>
      <c r="F276" s="11"/>
      <c r="G276" s="11"/>
      <c r="H276" s="11"/>
    </row>
    <row r="277" ht="16" customHeight="1">
      <c r="A277" s="11"/>
      <c r="B277" s="11"/>
      <c r="C277" s="11"/>
      <c r="D277" s="11"/>
      <c r="E277" s="11"/>
      <c r="F277" s="11"/>
      <c r="G277" s="11"/>
      <c r="H277" s="11"/>
    </row>
    <row r="278" ht="16" customHeight="1">
      <c r="A278" s="11"/>
      <c r="B278" s="11"/>
      <c r="C278" s="11"/>
      <c r="D278" s="11"/>
      <c r="E278" s="11"/>
      <c r="F278" s="11"/>
      <c r="G278" s="11"/>
      <c r="H278" s="11"/>
    </row>
    <row r="279" ht="16" customHeight="1">
      <c r="A279" s="11"/>
      <c r="B279" s="11"/>
      <c r="C279" s="11"/>
      <c r="D279" s="11"/>
      <c r="E279" s="11"/>
      <c r="F279" s="11"/>
      <c r="G279" s="11"/>
      <c r="H279" s="11"/>
    </row>
    <row r="280" ht="16" customHeight="1">
      <c r="A280" s="11"/>
      <c r="B280" s="11"/>
      <c r="C280" s="11"/>
      <c r="D280" s="11"/>
      <c r="E280" s="11"/>
      <c r="F280" s="11"/>
      <c r="G280" s="11"/>
      <c r="H280" s="11"/>
    </row>
    <row r="281" ht="16" customHeight="1">
      <c r="A281" s="11"/>
      <c r="B281" s="11"/>
      <c r="C281" s="11"/>
      <c r="D281" s="11"/>
      <c r="E281" s="11"/>
      <c r="F281" s="11"/>
      <c r="G281" s="11"/>
      <c r="H281" s="11"/>
    </row>
    <row r="282" ht="16" customHeight="1">
      <c r="A282" s="11"/>
      <c r="B282" s="11"/>
      <c r="C282" s="11"/>
      <c r="D282" s="11"/>
      <c r="E282" s="11"/>
      <c r="F282" s="11"/>
      <c r="G282" s="11"/>
      <c r="H282" s="11"/>
    </row>
    <row r="283" ht="16" customHeight="1">
      <c r="A283" s="11"/>
      <c r="B283" s="11"/>
      <c r="C283" s="11"/>
      <c r="D283" s="11"/>
      <c r="E283" s="11"/>
      <c r="F283" s="11"/>
      <c r="G283" s="11"/>
      <c r="H283" s="11"/>
    </row>
    <row r="284" ht="16" customHeight="1">
      <c r="A284" s="11"/>
      <c r="B284" s="11"/>
      <c r="C284" s="11"/>
      <c r="D284" s="11"/>
      <c r="E284" s="11"/>
      <c r="F284" s="11"/>
      <c r="G284" s="11"/>
      <c r="H284" s="11"/>
    </row>
    <row r="285" ht="16" customHeight="1">
      <c r="A285" s="11"/>
      <c r="B285" s="11"/>
      <c r="C285" s="11"/>
      <c r="D285" s="11"/>
      <c r="E285" s="11"/>
      <c r="F285" s="11"/>
      <c r="G285" s="11"/>
      <c r="H285" s="11"/>
    </row>
    <row r="286" ht="16" customHeight="1">
      <c r="A286" s="11"/>
      <c r="B286" s="11"/>
      <c r="C286" s="11"/>
      <c r="D286" s="11"/>
      <c r="E286" s="11"/>
      <c r="F286" s="11"/>
      <c r="G286" s="11"/>
      <c r="H286" s="11"/>
    </row>
    <row r="287" ht="16" customHeight="1">
      <c r="A287" s="11"/>
      <c r="B287" s="11"/>
      <c r="C287" s="11"/>
      <c r="D287" s="11"/>
      <c r="E287" s="11"/>
      <c r="F287" s="11"/>
      <c r="G287" s="11"/>
      <c r="H287" s="11"/>
    </row>
    <row r="288" ht="16" customHeight="1">
      <c r="A288" s="11"/>
      <c r="B288" s="11"/>
      <c r="C288" s="11"/>
      <c r="D288" s="11"/>
      <c r="E288" s="11"/>
      <c r="F288" s="11"/>
      <c r="G288" s="11"/>
      <c r="H288" s="11"/>
    </row>
    <row r="289" ht="16" customHeight="1">
      <c r="A289" s="11"/>
      <c r="B289" s="11"/>
      <c r="C289" s="11"/>
      <c r="D289" s="11"/>
      <c r="E289" s="11"/>
      <c r="F289" s="11"/>
      <c r="G289" s="11"/>
      <c r="H289" s="11"/>
    </row>
    <row r="290" ht="16" customHeight="1">
      <c r="A290" s="11"/>
      <c r="B290" s="11"/>
      <c r="C290" s="11"/>
      <c r="D290" s="11"/>
      <c r="E290" s="11"/>
      <c r="F290" s="11"/>
      <c r="G290" s="11"/>
      <c r="H290" s="11"/>
    </row>
    <row r="291" ht="16" customHeight="1">
      <c r="A291" s="11"/>
      <c r="B291" s="11"/>
      <c r="C291" s="11"/>
      <c r="D291" s="11"/>
      <c r="E291" s="11"/>
      <c r="F291" s="11"/>
      <c r="G291" s="11"/>
      <c r="H291" s="11"/>
    </row>
    <row r="292" ht="16" customHeight="1">
      <c r="A292" s="11"/>
      <c r="B292" s="11"/>
      <c r="C292" s="11"/>
      <c r="D292" s="11"/>
      <c r="E292" s="11"/>
      <c r="F292" s="11"/>
      <c r="G292" s="11"/>
      <c r="H292" s="11"/>
    </row>
    <row r="293" ht="16" customHeight="1">
      <c r="A293" s="11"/>
      <c r="B293" s="11"/>
      <c r="C293" s="11"/>
      <c r="D293" s="11"/>
      <c r="E293" s="11"/>
      <c r="F293" s="11"/>
      <c r="G293" s="11"/>
      <c r="H293" s="11"/>
    </row>
    <row r="294" ht="16" customHeight="1">
      <c r="A294" s="11"/>
      <c r="B294" s="11"/>
      <c r="C294" s="11"/>
      <c r="D294" s="11"/>
      <c r="E294" s="11"/>
      <c r="F294" s="11"/>
      <c r="G294" s="11"/>
      <c r="H294" s="11"/>
    </row>
    <row r="295" ht="16" customHeight="1">
      <c r="A295" s="11"/>
      <c r="B295" s="11"/>
      <c r="C295" s="11"/>
      <c r="D295" s="11"/>
      <c r="E295" s="11"/>
      <c r="F295" s="11"/>
      <c r="G295" s="11"/>
      <c r="H295" s="11"/>
    </row>
    <row r="296" ht="16" customHeight="1">
      <c r="A296" s="11"/>
      <c r="B296" s="11"/>
      <c r="C296" s="11"/>
      <c r="D296" s="11"/>
      <c r="E296" s="11"/>
      <c r="F296" s="11"/>
      <c r="G296" s="11"/>
      <c r="H296" s="11"/>
    </row>
    <row r="297" ht="16" customHeight="1">
      <c r="A297" s="11"/>
      <c r="B297" s="11"/>
      <c r="C297" s="11"/>
      <c r="D297" s="11"/>
      <c r="E297" s="11"/>
      <c r="F297" s="11"/>
      <c r="G297" s="11"/>
      <c r="H297" s="11"/>
    </row>
    <row r="298" ht="16" customHeight="1">
      <c r="A298" s="11"/>
      <c r="B298" s="11"/>
      <c r="C298" s="11"/>
      <c r="D298" s="11"/>
      <c r="E298" s="11"/>
      <c r="F298" s="11"/>
      <c r="G298" s="11"/>
      <c r="H298" s="11"/>
    </row>
    <row r="299" ht="16" customHeight="1">
      <c r="A299" s="11"/>
      <c r="B299" s="11"/>
      <c r="C299" s="11"/>
      <c r="D299" s="11"/>
      <c r="E299" s="11"/>
      <c r="F299" s="11"/>
      <c r="G299" s="11"/>
      <c r="H299" s="11"/>
    </row>
    <row r="300" ht="16" customHeight="1">
      <c r="A300" s="11"/>
      <c r="B300" s="11"/>
      <c r="C300" s="11"/>
      <c r="D300" s="11"/>
      <c r="E300" s="11"/>
      <c r="F300" s="11"/>
      <c r="G300" s="11"/>
      <c r="H300" s="11"/>
    </row>
    <row r="301" ht="16" customHeight="1">
      <c r="A301" s="11"/>
      <c r="B301" s="11"/>
      <c r="C301" s="11"/>
      <c r="D301" s="11"/>
      <c r="E301" s="11"/>
      <c r="F301" s="11"/>
      <c r="G301" s="11"/>
      <c r="H301" s="11"/>
    </row>
    <row r="302" ht="16" customHeight="1">
      <c r="A302" s="11"/>
      <c r="B302" s="11"/>
      <c r="C302" s="11"/>
      <c r="D302" s="11"/>
      <c r="E302" s="11"/>
      <c r="F302" s="11"/>
      <c r="G302" s="11"/>
      <c r="H302" s="11"/>
    </row>
    <row r="303" ht="16" customHeight="1">
      <c r="A303" s="11"/>
      <c r="B303" s="11"/>
      <c r="C303" s="11"/>
      <c r="D303" s="11"/>
      <c r="E303" s="11"/>
      <c r="F303" s="11"/>
      <c r="G303" s="11"/>
      <c r="H303" s="11"/>
    </row>
    <row r="304" ht="16" customHeight="1">
      <c r="A304" s="11"/>
      <c r="B304" s="11"/>
      <c r="C304" s="11"/>
      <c r="D304" s="11"/>
      <c r="E304" s="11"/>
      <c r="F304" s="11"/>
      <c r="G304" s="11"/>
      <c r="H304" s="11"/>
    </row>
    <row r="305" ht="16" customHeight="1">
      <c r="A305" s="11"/>
      <c r="B305" s="11"/>
      <c r="C305" s="11"/>
      <c r="D305" s="11"/>
      <c r="E305" s="11"/>
      <c r="F305" s="11"/>
      <c r="G305" s="11"/>
      <c r="H305" s="11"/>
    </row>
    <row r="306" ht="16" customHeight="1">
      <c r="A306" s="11"/>
      <c r="B306" s="11"/>
      <c r="C306" s="11"/>
      <c r="D306" s="11"/>
      <c r="E306" s="11"/>
      <c r="F306" s="11"/>
      <c r="G306" s="11"/>
      <c r="H306" s="11"/>
    </row>
    <row r="307" ht="16" customHeight="1">
      <c r="A307" s="11"/>
      <c r="B307" s="11"/>
      <c r="C307" s="11"/>
      <c r="D307" s="11"/>
      <c r="E307" s="11"/>
      <c r="F307" s="11"/>
      <c r="G307" s="11"/>
      <c r="H307" s="11"/>
    </row>
    <row r="308" ht="16" customHeight="1">
      <c r="A308" s="11"/>
      <c r="B308" s="11"/>
      <c r="C308" s="11"/>
      <c r="D308" s="11"/>
      <c r="E308" s="11"/>
      <c r="F308" s="11"/>
      <c r="G308" s="11"/>
      <c r="H308" s="11"/>
    </row>
    <row r="309" ht="16" customHeight="1">
      <c r="A309" s="11"/>
      <c r="B309" s="11"/>
      <c r="C309" s="11"/>
      <c r="D309" s="11"/>
      <c r="E309" s="11"/>
      <c r="F309" s="11"/>
      <c r="G309" s="11"/>
      <c r="H309" s="11"/>
    </row>
    <row r="310" ht="16" customHeight="1">
      <c r="A310" s="11"/>
      <c r="B310" s="11"/>
      <c r="C310" s="11"/>
      <c r="D310" s="11"/>
      <c r="E310" s="11"/>
      <c r="F310" s="11"/>
      <c r="G310" s="11"/>
      <c r="H310" s="11"/>
    </row>
    <row r="311" ht="16" customHeight="1">
      <c r="A311" s="11"/>
      <c r="B311" s="11"/>
      <c r="C311" s="11"/>
      <c r="D311" s="11"/>
      <c r="E311" s="11"/>
      <c r="F311" s="11"/>
      <c r="G311" s="11"/>
      <c r="H311" s="11"/>
    </row>
    <row r="312" ht="16" customHeight="1">
      <c r="A312" s="11"/>
      <c r="B312" s="11"/>
      <c r="C312" s="11"/>
      <c r="D312" s="11"/>
      <c r="E312" s="11"/>
      <c r="F312" s="11"/>
      <c r="G312" s="11"/>
      <c r="H312" s="11"/>
    </row>
    <row r="313" ht="16" customHeight="1">
      <c r="A313" s="11"/>
      <c r="B313" s="11"/>
      <c r="C313" s="11"/>
      <c r="D313" s="11"/>
      <c r="E313" s="11"/>
      <c r="F313" s="11"/>
      <c r="G313" s="11"/>
      <c r="H313" s="11"/>
    </row>
    <row r="314" ht="16" customHeight="1">
      <c r="A314" s="11"/>
      <c r="B314" s="11"/>
      <c r="C314" s="11"/>
      <c r="D314" s="11"/>
      <c r="E314" s="11"/>
      <c r="F314" s="11"/>
      <c r="G314" s="11"/>
      <c r="H314" s="11"/>
    </row>
    <row r="315" ht="16" customHeight="1">
      <c r="A315" s="11"/>
      <c r="B315" s="11"/>
      <c r="C315" s="11"/>
      <c r="D315" s="11"/>
      <c r="E315" s="11"/>
      <c r="F315" s="11"/>
      <c r="G315" s="11"/>
      <c r="H315" s="11"/>
    </row>
    <row r="316" ht="16" customHeight="1">
      <c r="A316" s="11"/>
      <c r="B316" s="11"/>
      <c r="C316" s="11"/>
      <c r="D316" s="11"/>
      <c r="E316" s="11"/>
      <c r="F316" s="11"/>
      <c r="G316" s="11"/>
      <c r="H316" s="11"/>
    </row>
    <row r="317" ht="16" customHeight="1">
      <c r="A317" s="11"/>
      <c r="B317" s="11"/>
      <c r="C317" s="11"/>
      <c r="D317" s="11"/>
      <c r="E317" s="11"/>
      <c r="F317" s="11"/>
      <c r="G317" s="11"/>
      <c r="H317" s="11"/>
    </row>
    <row r="318" ht="16" customHeight="1">
      <c r="A318" s="11"/>
      <c r="B318" s="11"/>
      <c r="C318" s="11"/>
      <c r="D318" s="11"/>
      <c r="E318" s="11"/>
      <c r="F318" s="11"/>
      <c r="G318" s="11"/>
      <c r="H318" s="11"/>
    </row>
    <row r="319" ht="16" customHeight="1">
      <c r="A319" s="11"/>
      <c r="B319" s="11"/>
      <c r="C319" s="11"/>
      <c r="D319" s="11"/>
      <c r="E319" s="11"/>
      <c r="F319" s="11"/>
      <c r="G319" s="11"/>
      <c r="H319" s="11"/>
    </row>
    <row r="320" ht="16" customHeight="1">
      <c r="A320" s="11"/>
      <c r="B320" s="11"/>
      <c r="C320" s="11"/>
      <c r="D320" s="11"/>
      <c r="E320" s="11"/>
      <c r="F320" s="11"/>
      <c r="G320" s="11"/>
      <c r="H320" s="11"/>
    </row>
    <row r="321" ht="16" customHeight="1">
      <c r="A321" s="11"/>
      <c r="B321" s="11"/>
      <c r="C321" s="11"/>
      <c r="D321" s="11"/>
      <c r="E321" s="11"/>
      <c r="F321" s="11"/>
      <c r="G321" s="11"/>
      <c r="H321" s="11"/>
    </row>
    <row r="322" ht="16" customHeight="1">
      <c r="A322" s="11"/>
      <c r="B322" s="11"/>
      <c r="C322" s="11"/>
      <c r="D322" s="11"/>
      <c r="E322" s="11"/>
      <c r="F322" s="11"/>
      <c r="G322" s="11"/>
      <c r="H322" s="11"/>
    </row>
    <row r="323" ht="16" customHeight="1">
      <c r="A323" s="11"/>
      <c r="B323" s="11"/>
      <c r="C323" s="11"/>
      <c r="D323" s="11"/>
      <c r="E323" s="11"/>
      <c r="F323" s="11"/>
      <c r="G323" s="11"/>
      <c r="H323" s="11"/>
    </row>
    <row r="324" ht="16" customHeight="1">
      <c r="A324" s="11"/>
      <c r="B324" s="11"/>
      <c r="C324" s="11"/>
      <c r="D324" s="11"/>
      <c r="E324" s="11"/>
      <c r="F324" s="11"/>
      <c r="G324" s="11"/>
      <c r="H324" s="11"/>
    </row>
    <row r="325" ht="16" customHeight="1">
      <c r="A325" s="11"/>
      <c r="B325" s="11"/>
      <c r="C325" s="11"/>
      <c r="D325" s="11"/>
      <c r="E325" s="11"/>
      <c r="F325" s="11"/>
      <c r="G325" s="11"/>
      <c r="H325" s="11"/>
    </row>
    <row r="326" ht="16" customHeight="1">
      <c r="A326" s="11"/>
      <c r="B326" s="11"/>
      <c r="C326" s="11"/>
      <c r="D326" s="11"/>
      <c r="E326" s="11"/>
      <c r="F326" s="11"/>
      <c r="G326" s="11"/>
      <c r="H326" s="11"/>
    </row>
    <row r="327" ht="16" customHeight="1">
      <c r="A327" s="11"/>
      <c r="B327" s="11"/>
      <c r="C327" s="11"/>
      <c r="D327" s="11"/>
      <c r="E327" s="11"/>
      <c r="F327" s="11"/>
      <c r="G327" s="11"/>
      <c r="H327" s="11"/>
    </row>
    <row r="328" ht="16" customHeight="1">
      <c r="A328" s="11"/>
      <c r="B328" s="11"/>
      <c r="C328" s="11"/>
      <c r="D328" s="11"/>
      <c r="E328" s="11"/>
      <c r="F328" s="11"/>
      <c r="G328" s="11"/>
      <c r="H328" s="11"/>
    </row>
    <row r="329" ht="16" customHeight="1">
      <c r="A329" s="11"/>
      <c r="B329" s="11"/>
      <c r="C329" s="11"/>
      <c r="D329" s="11"/>
      <c r="E329" s="11"/>
      <c r="F329" s="11"/>
      <c r="G329" s="11"/>
      <c r="H329" s="11"/>
    </row>
    <row r="330" ht="16" customHeight="1">
      <c r="A330" s="11"/>
      <c r="B330" s="11"/>
      <c r="C330" s="11"/>
      <c r="D330" s="11"/>
      <c r="E330" s="11"/>
      <c r="F330" s="11"/>
      <c r="G330" s="11"/>
      <c r="H330" s="11"/>
    </row>
    <row r="331" ht="16" customHeight="1">
      <c r="A331" s="11"/>
      <c r="B331" s="11"/>
      <c r="C331" s="11"/>
      <c r="D331" s="11"/>
      <c r="E331" s="11"/>
      <c r="F331" s="11"/>
      <c r="G331" s="11"/>
      <c r="H331" s="11"/>
    </row>
    <row r="332" ht="16" customHeight="1">
      <c r="A332" s="11"/>
      <c r="B332" s="11"/>
      <c r="C332" s="11"/>
      <c r="D332" s="11"/>
      <c r="E332" s="11"/>
      <c r="F332" s="11"/>
      <c r="G332" s="11"/>
      <c r="H332" s="11"/>
    </row>
    <row r="333" ht="16" customHeight="1">
      <c r="A333" s="11"/>
      <c r="B333" s="11"/>
      <c r="C333" s="11"/>
      <c r="D333" s="11"/>
      <c r="E333" s="11"/>
      <c r="F333" s="11"/>
      <c r="G333" s="11"/>
      <c r="H333" s="11"/>
    </row>
    <row r="334" ht="16" customHeight="1">
      <c r="A334" s="11"/>
      <c r="B334" s="11"/>
      <c r="C334" s="11"/>
      <c r="D334" s="11"/>
      <c r="E334" s="11"/>
      <c r="F334" s="11"/>
      <c r="G334" s="11"/>
      <c r="H334" s="11"/>
    </row>
    <row r="335" ht="16" customHeight="1">
      <c r="A335" s="11"/>
      <c r="B335" s="11"/>
      <c r="C335" s="11"/>
      <c r="D335" s="11"/>
      <c r="E335" s="11"/>
      <c r="F335" s="11"/>
      <c r="G335" s="11"/>
      <c r="H335" s="11"/>
    </row>
    <row r="336" ht="16" customHeight="1">
      <c r="A336" s="11"/>
      <c r="B336" s="11"/>
      <c r="C336" s="11"/>
      <c r="D336" s="11"/>
      <c r="E336" s="11"/>
      <c r="F336" s="11"/>
      <c r="G336" s="11"/>
      <c r="H336" s="11"/>
    </row>
    <row r="337" ht="16" customHeight="1">
      <c r="A337" s="11"/>
      <c r="B337" s="11"/>
      <c r="C337" s="11"/>
      <c r="D337" s="11"/>
      <c r="E337" s="11"/>
      <c r="F337" s="11"/>
      <c r="G337" s="11"/>
      <c r="H337" s="11"/>
    </row>
    <row r="338" ht="16" customHeight="1">
      <c r="A338" s="11"/>
      <c r="B338" s="11"/>
      <c r="C338" s="11"/>
      <c r="D338" s="11"/>
      <c r="E338" s="11"/>
      <c r="F338" s="11"/>
      <c r="G338" s="11"/>
      <c r="H338" s="11"/>
    </row>
    <row r="339" ht="16" customHeight="1">
      <c r="A339" s="11"/>
      <c r="B339" s="11"/>
      <c r="C339" s="11"/>
      <c r="D339" s="11"/>
      <c r="E339" s="11"/>
      <c r="F339" s="11"/>
      <c r="G339" s="11"/>
      <c r="H339" s="11"/>
    </row>
    <row r="340" ht="16" customHeight="1">
      <c r="A340" s="11"/>
      <c r="B340" s="11"/>
      <c r="C340" s="11"/>
      <c r="D340" s="11"/>
      <c r="E340" s="11"/>
      <c r="F340" s="11"/>
      <c r="G340" s="11"/>
      <c r="H340" s="11"/>
    </row>
    <row r="341" ht="16" customHeight="1">
      <c r="A341" s="11"/>
      <c r="B341" s="11"/>
      <c r="C341" s="11"/>
      <c r="D341" s="11"/>
      <c r="E341" s="11"/>
      <c r="F341" s="11"/>
      <c r="G341" s="11"/>
      <c r="H341" s="11"/>
    </row>
    <row r="342" ht="16" customHeight="1">
      <c r="A342" s="11"/>
      <c r="B342" s="11"/>
      <c r="C342" s="11"/>
      <c r="D342" s="11"/>
      <c r="E342" s="11"/>
      <c r="F342" s="11"/>
      <c r="G342" s="11"/>
      <c r="H342" s="11"/>
    </row>
    <row r="343" ht="16" customHeight="1">
      <c r="A343" s="11"/>
      <c r="B343" s="11"/>
      <c r="C343" s="11"/>
      <c r="D343" s="11"/>
      <c r="E343" s="11"/>
      <c r="F343" s="11"/>
      <c r="G343" s="11"/>
      <c r="H343" s="11"/>
    </row>
    <row r="344" ht="16" customHeight="1">
      <c r="A344" s="11"/>
      <c r="B344" s="11"/>
      <c r="C344" s="11"/>
      <c r="D344" s="11"/>
      <c r="E344" s="11"/>
      <c r="F344" s="11"/>
      <c r="G344" s="11"/>
      <c r="H344" s="11"/>
    </row>
    <row r="345" ht="16" customHeight="1">
      <c r="A345" s="11"/>
      <c r="B345" s="11"/>
      <c r="C345" s="11"/>
      <c r="D345" s="11"/>
      <c r="E345" s="11"/>
      <c r="F345" s="11"/>
      <c r="G345" s="11"/>
      <c r="H345" s="11"/>
    </row>
    <row r="346" ht="16" customHeight="1">
      <c r="A346" s="11"/>
      <c r="B346" s="11"/>
      <c r="C346" s="11"/>
      <c r="D346" s="11"/>
      <c r="E346" s="11"/>
      <c r="F346" s="11"/>
      <c r="G346" s="11"/>
      <c r="H346" s="11"/>
    </row>
    <row r="347" ht="16" customHeight="1">
      <c r="A347" s="11"/>
      <c r="B347" s="11"/>
      <c r="C347" s="11"/>
      <c r="D347" s="11"/>
      <c r="E347" s="11"/>
      <c r="F347" s="11"/>
      <c r="G347" s="11"/>
      <c r="H347" s="11"/>
    </row>
    <row r="348" ht="16" customHeight="1">
      <c r="A348" s="11"/>
      <c r="B348" s="11"/>
      <c r="C348" s="11"/>
      <c r="D348" s="11"/>
      <c r="E348" s="11"/>
      <c r="F348" s="11"/>
      <c r="G348" s="11"/>
      <c r="H348" s="11"/>
    </row>
    <row r="349" ht="16" customHeight="1">
      <c r="A349" s="11"/>
      <c r="B349" s="11"/>
      <c r="C349" s="11"/>
      <c r="D349" s="11"/>
      <c r="E349" s="11"/>
      <c r="F349" s="11"/>
      <c r="G349" s="11"/>
      <c r="H349" s="11"/>
    </row>
    <row r="350" ht="16" customHeight="1">
      <c r="A350" s="11"/>
      <c r="B350" s="11"/>
      <c r="C350" s="11"/>
      <c r="D350" s="11"/>
      <c r="E350" s="11"/>
      <c r="F350" s="11"/>
      <c r="G350" s="11"/>
      <c r="H350" s="11"/>
    </row>
    <row r="351" ht="16" customHeight="1">
      <c r="A351" s="11"/>
      <c r="B351" s="11"/>
      <c r="C351" s="11"/>
      <c r="D351" s="11"/>
      <c r="E351" s="11"/>
      <c r="F351" s="11"/>
      <c r="G351" s="11"/>
      <c r="H351" s="11"/>
    </row>
    <row r="352" ht="16" customHeight="1">
      <c r="A352" s="11"/>
      <c r="B352" s="11"/>
      <c r="C352" s="11"/>
      <c r="D352" s="11"/>
      <c r="E352" s="11"/>
      <c r="F352" s="11"/>
      <c r="G352" s="11"/>
      <c r="H352" s="11"/>
    </row>
    <row r="353" ht="16" customHeight="1">
      <c r="A353" s="11"/>
      <c r="B353" s="11"/>
      <c r="C353" s="11"/>
      <c r="D353" s="11"/>
      <c r="E353" s="11"/>
      <c r="F353" s="11"/>
      <c r="G353" s="11"/>
      <c r="H353" s="11"/>
    </row>
    <row r="354" ht="16" customHeight="1">
      <c r="A354" s="11"/>
      <c r="B354" s="11"/>
      <c r="C354" s="11"/>
      <c r="D354" s="11"/>
      <c r="E354" s="11"/>
      <c r="F354" s="11"/>
      <c r="G354" s="11"/>
      <c r="H354" s="11"/>
    </row>
    <row r="355" ht="16" customHeight="1">
      <c r="A355" s="11"/>
      <c r="B355" s="11"/>
      <c r="C355" s="11"/>
      <c r="D355" s="11"/>
      <c r="E355" s="11"/>
      <c r="F355" s="11"/>
      <c r="G355" s="11"/>
      <c r="H355" s="11"/>
    </row>
    <row r="356" ht="16" customHeight="1">
      <c r="A356" s="11"/>
      <c r="B356" s="11"/>
      <c r="C356" s="11"/>
      <c r="D356" s="11"/>
      <c r="E356" s="11"/>
      <c r="F356" s="11"/>
      <c r="G356" s="11"/>
      <c r="H356" s="11"/>
    </row>
    <row r="357" ht="16" customHeight="1">
      <c r="A357" s="11"/>
      <c r="B357" s="11"/>
      <c r="C357" s="11"/>
      <c r="D357" s="11"/>
      <c r="E357" s="11"/>
      <c r="F357" s="11"/>
      <c r="G357" s="11"/>
      <c r="H357" s="11"/>
    </row>
    <row r="358" ht="16" customHeight="1">
      <c r="A358" s="11"/>
      <c r="B358" s="11"/>
      <c r="C358" s="11"/>
      <c r="D358" s="11"/>
      <c r="E358" s="11"/>
      <c r="F358" s="11"/>
      <c r="G358" s="11"/>
      <c r="H358" s="11"/>
    </row>
    <row r="359" ht="16" customHeight="1">
      <c r="A359" s="11"/>
      <c r="B359" s="11"/>
      <c r="C359" s="11"/>
      <c r="D359" s="11"/>
      <c r="E359" s="11"/>
      <c r="F359" s="11"/>
      <c r="G359" s="11"/>
      <c r="H359" s="11"/>
    </row>
    <row r="360" ht="16" customHeight="1">
      <c r="A360" s="11"/>
      <c r="B360" s="11"/>
      <c r="C360" s="11"/>
      <c r="D360" s="11"/>
      <c r="E360" s="11"/>
      <c r="F360" s="11"/>
      <c r="G360" s="11"/>
      <c r="H360" s="11"/>
    </row>
    <row r="361" ht="16" customHeight="1">
      <c r="A361" s="11"/>
      <c r="B361" s="11"/>
      <c r="C361" s="11"/>
      <c r="D361" s="11"/>
      <c r="E361" s="11"/>
      <c r="F361" s="11"/>
      <c r="G361" s="11"/>
      <c r="H361" s="11"/>
    </row>
    <row r="362" ht="16" customHeight="1">
      <c r="A362" s="11"/>
      <c r="B362" s="11"/>
      <c r="C362" s="11"/>
      <c r="D362" s="11"/>
      <c r="E362" s="11"/>
      <c r="F362" s="11"/>
      <c r="G362" s="11"/>
      <c r="H362" s="11"/>
    </row>
    <row r="363" ht="16" customHeight="1">
      <c r="A363" s="11"/>
      <c r="B363" s="11"/>
      <c r="C363" s="11"/>
      <c r="D363" s="11"/>
      <c r="E363" s="11"/>
      <c r="F363" s="11"/>
      <c r="G363" s="11"/>
      <c r="H363" s="11"/>
    </row>
    <row r="364" ht="16" customHeight="1">
      <c r="A364" s="11"/>
      <c r="B364" s="11"/>
      <c r="C364" s="11"/>
      <c r="D364" s="11"/>
      <c r="E364" s="11"/>
      <c r="F364" s="11"/>
      <c r="G364" s="11"/>
      <c r="H364" s="11"/>
    </row>
    <row r="365" ht="16" customHeight="1">
      <c r="A365" s="11"/>
      <c r="B365" s="11"/>
      <c r="C365" s="11"/>
      <c r="D365" s="11"/>
      <c r="E365" s="11"/>
      <c r="F365" s="11"/>
      <c r="G365" s="11"/>
      <c r="H365" s="11"/>
    </row>
    <row r="366" ht="16" customHeight="1">
      <c r="A366" s="11"/>
      <c r="B366" s="11"/>
      <c r="C366" s="11"/>
      <c r="D366" s="11"/>
      <c r="E366" s="11"/>
      <c r="F366" s="11"/>
      <c r="G366" s="11"/>
      <c r="H366" s="11"/>
    </row>
    <row r="367" ht="16" customHeight="1">
      <c r="A367" s="11"/>
      <c r="B367" s="11"/>
      <c r="C367" s="11"/>
      <c r="D367" s="11"/>
      <c r="E367" s="11"/>
      <c r="F367" s="11"/>
      <c r="G367" s="11"/>
      <c r="H367" s="11"/>
    </row>
    <row r="368" ht="16" customHeight="1">
      <c r="A368" s="11"/>
      <c r="B368" s="11"/>
      <c r="C368" s="11"/>
      <c r="D368" s="11"/>
      <c r="E368" s="11"/>
      <c r="F368" s="11"/>
      <c r="G368" s="11"/>
      <c r="H368" s="11"/>
    </row>
    <row r="369" ht="16" customHeight="1">
      <c r="A369" s="11"/>
      <c r="B369" s="11"/>
      <c r="C369" s="11"/>
      <c r="D369" s="11"/>
      <c r="E369" s="11"/>
      <c r="F369" s="11"/>
      <c r="G369" s="11"/>
      <c r="H369" s="11"/>
    </row>
    <row r="370" ht="16" customHeight="1">
      <c r="A370" s="11"/>
      <c r="B370" s="11"/>
      <c r="C370" s="11"/>
      <c r="D370" s="11"/>
      <c r="E370" s="11"/>
      <c r="F370" s="11"/>
      <c r="G370" s="11"/>
      <c r="H370" s="11"/>
    </row>
    <row r="371" ht="16" customHeight="1">
      <c r="A371" s="11"/>
      <c r="B371" s="11"/>
      <c r="C371" s="11"/>
      <c r="D371" s="11"/>
      <c r="E371" s="11"/>
      <c r="F371" s="11"/>
      <c r="G371" s="11"/>
      <c r="H371" s="11"/>
    </row>
    <row r="372" ht="16" customHeight="1">
      <c r="A372" s="11"/>
      <c r="B372" s="11"/>
      <c r="C372" s="11"/>
      <c r="D372" s="11"/>
      <c r="E372" s="11"/>
      <c r="F372" s="11"/>
      <c r="G372" s="11"/>
      <c r="H372" s="11"/>
    </row>
    <row r="373" ht="16" customHeight="1">
      <c r="A373" s="11"/>
      <c r="B373" s="11"/>
      <c r="C373" s="11"/>
      <c r="D373" s="11"/>
      <c r="E373" s="11"/>
      <c r="F373" s="11"/>
      <c r="G373" s="11"/>
      <c r="H373" s="11"/>
    </row>
    <row r="374" ht="16" customHeight="1">
      <c r="A374" s="11"/>
      <c r="B374" s="11"/>
      <c r="C374" s="11"/>
      <c r="D374" s="11"/>
      <c r="E374" s="11"/>
      <c r="F374" s="11"/>
      <c r="G374" s="11"/>
      <c r="H374" s="11"/>
    </row>
    <row r="375" ht="16" customHeight="1">
      <c r="A375" s="11"/>
      <c r="B375" s="11"/>
      <c r="C375" s="11"/>
      <c r="D375" s="11"/>
      <c r="E375" s="11"/>
      <c r="F375" s="11"/>
      <c r="G375" s="11"/>
      <c r="H375" s="11"/>
    </row>
    <row r="376" ht="16" customHeight="1">
      <c r="A376" s="11"/>
      <c r="B376" s="11"/>
      <c r="C376" s="11"/>
      <c r="D376" s="11"/>
      <c r="E376" s="11"/>
      <c r="F376" s="11"/>
      <c r="G376" s="11"/>
      <c r="H376" s="11"/>
    </row>
    <row r="377" ht="16" customHeight="1">
      <c r="A377" s="11"/>
      <c r="B377" s="11"/>
      <c r="C377" s="11"/>
      <c r="D377" s="11"/>
      <c r="E377" s="11"/>
      <c r="F377" s="11"/>
      <c r="G377" s="11"/>
      <c r="H377" s="11"/>
    </row>
    <row r="378" ht="16" customHeight="1">
      <c r="A378" s="11"/>
      <c r="B378" s="11"/>
      <c r="C378" s="11"/>
      <c r="D378" s="11"/>
      <c r="E378" s="11"/>
      <c r="F378" s="11"/>
      <c r="G378" s="11"/>
      <c r="H378" s="11"/>
    </row>
    <row r="379" ht="16" customHeight="1">
      <c r="A379" s="11"/>
      <c r="B379" s="11"/>
      <c r="C379" s="11"/>
      <c r="D379" s="11"/>
      <c r="E379" s="11"/>
      <c r="F379" s="11"/>
      <c r="G379" s="11"/>
      <c r="H379" s="11"/>
    </row>
    <row r="380" ht="16" customHeight="1">
      <c r="A380" s="11"/>
      <c r="B380" s="11"/>
      <c r="C380" s="11"/>
      <c r="D380" s="11"/>
      <c r="E380" s="11"/>
      <c r="F380" s="11"/>
      <c r="G380" s="11"/>
      <c r="H380" s="11"/>
    </row>
    <row r="381" ht="16" customHeight="1">
      <c r="A381" s="11"/>
      <c r="B381" s="11"/>
      <c r="C381" s="11"/>
      <c r="D381" s="11"/>
      <c r="E381" s="11"/>
      <c r="F381" s="11"/>
      <c r="G381" s="11"/>
      <c r="H381" s="11"/>
    </row>
    <row r="382" ht="16" customHeight="1">
      <c r="A382" s="11"/>
      <c r="B382" s="11"/>
      <c r="C382" s="11"/>
      <c r="D382" s="11"/>
      <c r="E382" s="11"/>
      <c r="F382" s="11"/>
      <c r="G382" s="11"/>
      <c r="H382" s="11"/>
    </row>
    <row r="383" ht="16" customHeight="1">
      <c r="A383" s="11"/>
      <c r="B383" s="11"/>
      <c r="C383" s="11"/>
      <c r="D383" s="11"/>
      <c r="E383" s="11"/>
      <c r="F383" s="11"/>
      <c r="G383" s="11"/>
      <c r="H383" s="11"/>
    </row>
    <row r="384" ht="16" customHeight="1">
      <c r="A384" s="11"/>
      <c r="B384" s="11"/>
      <c r="C384" s="11"/>
      <c r="D384" s="11"/>
      <c r="E384" s="11"/>
      <c r="F384" s="11"/>
      <c r="G384" s="11"/>
      <c r="H384" s="11"/>
    </row>
    <row r="385" ht="16" customHeight="1">
      <c r="A385" s="11"/>
      <c r="B385" s="11"/>
      <c r="C385" s="11"/>
      <c r="D385" s="11"/>
      <c r="E385" s="11"/>
      <c r="F385" s="11"/>
      <c r="G385" s="11"/>
      <c r="H385" s="11"/>
    </row>
    <row r="386" ht="16" customHeight="1">
      <c r="A386" s="11"/>
      <c r="B386" s="11"/>
      <c r="C386" s="11"/>
      <c r="D386" s="11"/>
      <c r="E386" s="11"/>
      <c r="F386" s="11"/>
      <c r="G386" s="11"/>
      <c r="H386" s="11"/>
    </row>
    <row r="387" ht="16" customHeight="1">
      <c r="A387" s="11"/>
      <c r="B387" s="11"/>
      <c r="C387" s="11"/>
      <c r="D387" s="11"/>
      <c r="E387" s="11"/>
      <c r="F387" s="11"/>
      <c r="G387" s="11"/>
      <c r="H387" s="11"/>
    </row>
    <row r="388" ht="16" customHeight="1">
      <c r="A388" s="11"/>
      <c r="B388" s="11"/>
      <c r="C388" s="11"/>
      <c r="D388" s="11"/>
      <c r="E388" s="11"/>
      <c r="F388" s="11"/>
      <c r="G388" s="11"/>
      <c r="H388" s="11"/>
    </row>
    <row r="389" ht="16" customHeight="1">
      <c r="A389" s="11"/>
      <c r="B389" s="11"/>
      <c r="C389" s="11"/>
      <c r="D389" s="11"/>
      <c r="E389" s="11"/>
      <c r="F389" s="11"/>
      <c r="G389" s="11"/>
      <c r="H389" s="11"/>
    </row>
    <row r="390" ht="16" customHeight="1">
      <c r="A390" s="11"/>
      <c r="B390" s="11"/>
      <c r="C390" s="11"/>
      <c r="D390" s="11"/>
      <c r="E390" s="11"/>
      <c r="F390" s="11"/>
      <c r="G390" s="11"/>
      <c r="H390" s="11"/>
    </row>
    <row r="391" ht="16" customHeight="1">
      <c r="A391" s="11"/>
      <c r="B391" s="11"/>
      <c r="C391" s="11"/>
      <c r="D391" s="11"/>
      <c r="E391" s="11"/>
      <c r="F391" s="11"/>
      <c r="G391" s="11"/>
      <c r="H391" s="11"/>
    </row>
    <row r="392" ht="16" customHeight="1">
      <c r="A392" s="11"/>
      <c r="B392" s="11"/>
      <c r="C392" s="11"/>
      <c r="D392" s="11"/>
      <c r="E392" s="11"/>
      <c r="F392" s="11"/>
      <c r="G392" s="11"/>
      <c r="H392" s="11"/>
    </row>
    <row r="393" ht="16" customHeight="1">
      <c r="A393" s="11"/>
      <c r="B393" s="11"/>
      <c r="C393" s="11"/>
      <c r="D393" s="11"/>
      <c r="E393" s="11"/>
      <c r="F393" s="11"/>
      <c r="G393" s="11"/>
      <c r="H393" s="11"/>
    </row>
    <row r="394" ht="16" customHeight="1">
      <c r="A394" s="11"/>
      <c r="B394" s="11"/>
      <c r="C394" s="11"/>
      <c r="D394" s="11"/>
      <c r="E394" s="11"/>
      <c r="F394" s="11"/>
      <c r="G394" s="11"/>
      <c r="H394" s="11"/>
    </row>
    <row r="395" ht="16" customHeight="1">
      <c r="A395" s="11"/>
      <c r="B395" s="11"/>
      <c r="C395" s="11"/>
      <c r="D395" s="11"/>
      <c r="E395" s="11"/>
      <c r="F395" s="11"/>
      <c r="G395" s="11"/>
      <c r="H395" s="11"/>
    </row>
    <row r="396" ht="16" customHeight="1">
      <c r="A396" s="11"/>
      <c r="B396" s="11"/>
      <c r="C396" s="11"/>
      <c r="D396" s="11"/>
      <c r="E396" s="11"/>
      <c r="F396" s="11"/>
      <c r="G396" s="11"/>
      <c r="H396" s="11"/>
    </row>
    <row r="397" ht="16" customHeight="1">
      <c r="A397" s="11"/>
      <c r="B397" s="11"/>
      <c r="C397" s="11"/>
      <c r="D397" s="11"/>
      <c r="E397" s="11"/>
      <c r="F397" s="11"/>
      <c r="G397" s="11"/>
      <c r="H397" s="11"/>
    </row>
    <row r="398" ht="16" customHeight="1">
      <c r="A398" s="11"/>
      <c r="B398" s="11"/>
      <c r="C398" s="11"/>
      <c r="D398" s="11"/>
      <c r="E398" s="11"/>
      <c r="F398" s="11"/>
      <c r="G398" s="11"/>
      <c r="H398" s="11"/>
    </row>
    <row r="399" ht="16" customHeight="1">
      <c r="A399" s="11"/>
      <c r="B399" s="11"/>
      <c r="C399" s="11"/>
      <c r="D399" s="11"/>
      <c r="E399" s="11"/>
      <c r="F399" s="11"/>
      <c r="G399" s="11"/>
      <c r="H399" s="11"/>
    </row>
    <row r="400" ht="16" customHeight="1">
      <c r="A400" s="11"/>
      <c r="B400" s="11"/>
      <c r="C400" s="11"/>
      <c r="D400" s="11"/>
      <c r="E400" s="11"/>
      <c r="F400" s="11"/>
      <c r="G400" s="11"/>
      <c r="H400" s="11"/>
    </row>
    <row r="401" ht="16" customHeight="1">
      <c r="A401" s="11"/>
      <c r="B401" s="11"/>
      <c r="C401" s="11"/>
      <c r="D401" s="11"/>
      <c r="E401" s="11"/>
      <c r="F401" s="11"/>
      <c r="G401" s="11"/>
      <c r="H401" s="11"/>
    </row>
    <row r="402" ht="16" customHeight="1">
      <c r="A402" s="11"/>
      <c r="B402" s="11"/>
      <c r="C402" s="11"/>
      <c r="D402" s="11"/>
      <c r="E402" s="11"/>
      <c r="F402" s="11"/>
      <c r="G402" s="11"/>
      <c r="H402" s="11"/>
    </row>
    <row r="403" ht="16" customHeight="1">
      <c r="A403" s="11"/>
      <c r="B403" s="11"/>
      <c r="C403" s="11"/>
      <c r="D403" s="11"/>
      <c r="E403" s="11"/>
      <c r="F403" s="11"/>
      <c r="G403" s="11"/>
      <c r="H403" s="11"/>
    </row>
    <row r="404" ht="16" customHeight="1">
      <c r="A404" s="11"/>
      <c r="B404" s="11"/>
      <c r="C404" s="11"/>
      <c r="D404" s="11"/>
      <c r="E404" s="11"/>
      <c r="F404" s="11"/>
      <c r="G404" s="11"/>
      <c r="H404" s="11"/>
    </row>
    <row r="405" ht="16" customHeight="1">
      <c r="A405" s="11"/>
      <c r="B405" s="11"/>
      <c r="C405" s="11"/>
      <c r="D405" s="11"/>
      <c r="E405" s="11"/>
      <c r="F405" s="11"/>
      <c r="G405" s="11"/>
      <c r="H405" s="11"/>
    </row>
    <row r="406" ht="16" customHeight="1">
      <c r="A406" s="11"/>
      <c r="B406" s="11"/>
      <c r="C406" s="11"/>
      <c r="D406" s="11"/>
      <c r="E406" s="11"/>
      <c r="F406" s="11"/>
      <c r="G406" s="11"/>
      <c r="H406" s="11"/>
    </row>
    <row r="407" ht="16" customHeight="1">
      <c r="A407" s="11"/>
      <c r="B407" s="11"/>
      <c r="C407" s="11"/>
      <c r="D407" s="11"/>
      <c r="E407" s="11"/>
      <c r="F407" s="11"/>
      <c r="G407" s="11"/>
      <c r="H407" s="11"/>
    </row>
    <row r="408" ht="16" customHeight="1">
      <c r="A408" s="11"/>
      <c r="B408" s="11"/>
      <c r="C408" s="11"/>
      <c r="D408" s="11"/>
      <c r="E408" s="11"/>
      <c r="F408" s="11"/>
      <c r="G408" s="11"/>
      <c r="H408" s="11"/>
    </row>
    <row r="409" ht="16" customHeight="1">
      <c r="A409" s="11"/>
      <c r="B409" s="11"/>
      <c r="C409" s="11"/>
      <c r="D409" s="11"/>
      <c r="E409" s="11"/>
      <c r="F409" s="11"/>
      <c r="G409" s="11"/>
      <c r="H409" s="11"/>
    </row>
    <row r="410" ht="16" customHeight="1">
      <c r="A410" s="11"/>
      <c r="B410" s="11"/>
      <c r="C410" s="11"/>
      <c r="D410" s="11"/>
      <c r="E410" s="11"/>
      <c r="F410" s="11"/>
      <c r="G410" s="11"/>
      <c r="H410" s="11"/>
    </row>
    <row r="411" ht="16" customHeight="1">
      <c r="A411" s="11"/>
      <c r="B411" s="11"/>
      <c r="C411" s="11"/>
      <c r="D411" s="11"/>
      <c r="E411" s="11"/>
      <c r="F411" s="11"/>
      <c r="G411" s="11"/>
      <c r="H411" s="11"/>
    </row>
    <row r="412" ht="16" customHeight="1">
      <c r="A412" s="11"/>
      <c r="B412" s="11"/>
      <c r="C412" s="11"/>
      <c r="D412" s="11"/>
      <c r="E412" s="11"/>
      <c r="F412" s="11"/>
      <c r="G412" s="11"/>
      <c r="H412" s="11"/>
    </row>
    <row r="413" ht="16" customHeight="1">
      <c r="A413" s="11"/>
      <c r="B413" s="11"/>
      <c r="C413" s="11"/>
      <c r="D413" s="11"/>
      <c r="E413" s="11"/>
      <c r="F413" s="11"/>
      <c r="G413" s="11"/>
      <c r="H413" s="11"/>
    </row>
    <row r="414" ht="16" customHeight="1">
      <c r="A414" s="11"/>
      <c r="B414" s="11"/>
      <c r="C414" s="11"/>
      <c r="D414" s="11"/>
      <c r="E414" s="11"/>
      <c r="F414" s="11"/>
      <c r="G414" s="11"/>
      <c r="H414" s="11"/>
    </row>
    <row r="415" ht="16" customHeight="1">
      <c r="A415" s="11"/>
      <c r="B415" s="11"/>
      <c r="C415" s="11"/>
      <c r="D415" s="11"/>
      <c r="E415" s="11"/>
      <c r="F415" s="11"/>
      <c r="G415" s="11"/>
      <c r="H415" s="11"/>
    </row>
    <row r="416" ht="16" customHeight="1">
      <c r="A416" s="11"/>
      <c r="B416" s="11"/>
      <c r="C416" s="11"/>
      <c r="D416" s="11"/>
      <c r="E416" s="11"/>
      <c r="F416" s="11"/>
      <c r="G416" s="11"/>
      <c r="H416" s="11"/>
    </row>
    <row r="417" ht="16" customHeight="1">
      <c r="A417" s="11"/>
      <c r="B417" s="11"/>
      <c r="C417" s="11"/>
      <c r="D417" s="11"/>
      <c r="E417" s="11"/>
      <c r="F417" s="11"/>
      <c r="G417" s="11"/>
      <c r="H417" s="11"/>
    </row>
    <row r="418" ht="16" customHeight="1">
      <c r="A418" s="11"/>
      <c r="B418" s="11"/>
      <c r="C418" s="11"/>
      <c r="D418" s="11"/>
      <c r="E418" s="11"/>
      <c r="F418" s="11"/>
      <c r="G418" s="11"/>
      <c r="H418" s="11"/>
    </row>
    <row r="419" ht="16" customHeight="1">
      <c r="A419" s="11"/>
      <c r="B419" s="11"/>
      <c r="C419" s="11"/>
      <c r="D419" s="11"/>
      <c r="E419" s="11"/>
      <c r="F419" s="11"/>
      <c r="G419" s="11"/>
      <c r="H419" s="11"/>
    </row>
    <row r="420" ht="16" customHeight="1">
      <c r="A420" s="11"/>
      <c r="B420" s="11"/>
      <c r="C420" s="11"/>
      <c r="D420" s="11"/>
      <c r="E420" s="11"/>
      <c r="F420" s="11"/>
      <c r="G420" s="11"/>
      <c r="H420" s="11"/>
    </row>
    <row r="421" ht="16" customHeight="1">
      <c r="A421" s="11"/>
      <c r="B421" s="11"/>
      <c r="C421" s="11"/>
      <c r="D421" s="11"/>
      <c r="E421" s="11"/>
      <c r="F421" s="11"/>
      <c r="G421" s="11"/>
      <c r="H421" s="11"/>
    </row>
    <row r="422" ht="18" customHeight="1">
      <c r="A422" s="86">
        <v>41421</v>
      </c>
      <c r="B422" s="11"/>
      <c r="C422" s="11"/>
      <c r="D422" s="11"/>
      <c r="E422" s="11"/>
      <c r="F422" s="11"/>
      <c r="G422" s="11"/>
      <c r="H422" s="11"/>
    </row>
  </sheetData>
  <pageMargins left="0.75" right="0.75" top="1" bottom="1" header="0.5" footer="0.5"/>
  <pageSetup firstPageNumber="1" fitToHeight="1" fitToWidth="1" scale="100" useFirstPageNumber="0" orientation="landscape" pageOrder="downThenOver"/>
  <headerFooter>
    <oddFooter>&amp;L&amp;"Helvetica,Regular"&amp;12&amp;K000000	&amp;P</oddFooter>
  </headerFooter>
</worksheet>
</file>

<file path=xl/worksheets/sheet33.xml><?xml version="1.0" encoding="utf-8"?>
<worksheet xmlns:r="http://schemas.openxmlformats.org/officeDocument/2006/relationships" xmlns="http://schemas.openxmlformats.org/spreadsheetml/2006/main">
  <dimension ref="A1:AE400"/>
  <sheetViews>
    <sheetView workbookViewId="0" defaultGridColor="0" colorId="15"/>
  </sheetViews>
  <sheetFormatPr defaultColWidth="6.875" defaultRowHeight="12.75" customHeight="1" outlineLevelRow="0" outlineLevelCol="0"/>
  <cols>
    <col min="1" max="1" width="32.25" style="6" customWidth="1"/>
    <col min="2" max="2" width="7.25" style="6" customWidth="1"/>
    <col min="3" max="3" width="9.375" style="6" customWidth="1"/>
    <col min="4" max="4" width="9.375" style="6" customWidth="1"/>
    <col min="5" max="5" width="9.375" style="6" customWidth="1"/>
    <col min="6" max="6" width="9.375" style="6" customWidth="1"/>
    <col min="7" max="7" width="9.375" style="6" customWidth="1"/>
    <col min="8" max="8" width="9.375" style="6" customWidth="1"/>
    <col min="9" max="9" width="9.375" style="6" customWidth="1"/>
    <col min="10" max="10" width="9.375" style="6" customWidth="1"/>
    <col min="11" max="11" width="9.375" style="6" customWidth="1"/>
    <col min="12" max="12" width="8.625" style="6" customWidth="1"/>
    <col min="13" max="13" width="9.375" style="6" customWidth="1"/>
    <col min="14" max="14" width="9.375" style="6" customWidth="1"/>
    <col min="15" max="15" width="9.375" style="6" customWidth="1"/>
    <col min="16" max="16" width="9" style="6" customWidth="1"/>
    <col min="17" max="17" width="9" style="6" customWidth="1"/>
    <col min="18" max="18" width="9" style="6" customWidth="1"/>
    <col min="19" max="19" width="9" style="6" customWidth="1"/>
    <col min="20" max="20" width="6.875" style="6" customWidth="1"/>
    <col min="21" max="21" width="6.875" style="6" customWidth="1"/>
    <col min="22" max="22" width="6.875" style="6" customWidth="1"/>
    <col min="23" max="23" width="6.875" style="6" customWidth="1"/>
    <col min="24" max="24" width="6.875" style="6" customWidth="1"/>
    <col min="25" max="25" width="6.875" style="6" customWidth="1"/>
    <col min="26" max="26" width="6.875" style="6" customWidth="1"/>
    <col min="27" max="27" width="6.875" style="6" customWidth="1"/>
    <col min="28" max="28" width="6.875" style="6" customWidth="1"/>
    <col min="29" max="29" width="6.875" style="6" customWidth="1"/>
    <col min="30" max="30" width="6.875" style="6" customWidth="1"/>
    <col min="31" max="31" width="6.875" style="6" customWidth="1"/>
    <col min="32" max="256" width="6.875" style="1165" customWidth="1"/>
  </cols>
  <sheetData>
    <row r="1" s="417" customFormat="1" ht="16" customHeight="1">
      <c r="B1" s="1166">
        <f>'Cash Flow'!E10</f>
        <v>2021</v>
      </c>
      <c r="C1" s="1166">
        <f>'Cash Flow'!F10</f>
        <v>2022</v>
      </c>
      <c r="D1" s="1166">
        <f>'Cash Flow'!G10</f>
        <v>2023</v>
      </c>
      <c r="E1" s="1166">
        <f>'Cash Flow'!H10</f>
        <v>2024</v>
      </c>
      <c r="F1" s="1166">
        <f>'Cash Flow'!I10</f>
        <v>2025</v>
      </c>
      <c r="G1" s="1166">
        <f>'Cash Flow'!J10</f>
        <v>2026</v>
      </c>
      <c r="H1" s="1166">
        <f>'Cash Flow'!K10</f>
        <v>2027</v>
      </c>
      <c r="I1" s="1166">
        <f>'Cash Flow'!L10</f>
        <v>2028</v>
      </c>
      <c r="J1" s="1166">
        <f>'Cash Flow'!M10</f>
        <v>2029</v>
      </c>
      <c r="K1" s="1166">
        <f>'Cash Flow'!N10</f>
        <v>2030</v>
      </c>
      <c r="L1" s="1166">
        <f>'Cash Flow'!O10</f>
        <v>2031</v>
      </c>
      <c r="M1" s="1166">
        <f>'Cash Flow'!P10</f>
        <v>2032</v>
      </c>
      <c r="N1" s="1166">
        <f>'Cash Flow'!Q10</f>
        <v>2033</v>
      </c>
      <c r="O1" s="1166">
        <f>'Cash Flow'!R10</f>
        <v>2034</v>
      </c>
      <c r="P1" s="1166">
        <f>'Cash Flow'!S10</f>
        <v>2035</v>
      </c>
      <c r="Q1" s="1166">
        <f>'Cash Flow'!T10</f>
        <v>2036</v>
      </c>
      <c r="R1" s="1166">
        <f>'Cash Flow'!U10</f>
        <v>2037</v>
      </c>
      <c r="S1" s="1166">
        <f>'Cash Flow'!V10</f>
        <v>2038</v>
      </c>
      <c r="T1" s="1166">
        <f>'Cash Flow'!W10</f>
        <v>2039</v>
      </c>
      <c r="U1" s="1166">
        <f>'Cash Flow'!X10</f>
        <v>2040</v>
      </c>
      <c r="V1" s="1166">
        <f>'Cash Flow'!Y10</f>
        <v>2041</v>
      </c>
      <c r="W1" s="1166">
        <f>'Cash Flow'!Z10</f>
        <v>2042</v>
      </c>
      <c r="X1" s="1166">
        <f>'Cash Flow'!AA10</f>
        <v>2043</v>
      </c>
      <c r="Y1" s="1166">
        <f>'Cash Flow'!AB10</f>
        <v>2044</v>
      </c>
      <c r="Z1" s="1166">
        <f>'Cash Flow'!AC10</f>
        <v>2045</v>
      </c>
      <c r="AA1" s="1166">
        <f>'Cash Flow'!AD10</f>
        <v>2046</v>
      </c>
      <c r="AB1" s="1166">
        <f>'Cash Flow'!AE10</f>
        <v>2047</v>
      </c>
      <c r="AC1" s="1166">
        <f>'Cash Flow'!AF10</f>
        <v>2048</v>
      </c>
      <c r="AD1" s="1166">
        <f>'Cash Flow'!AG10</f>
        <v>2049</v>
      </c>
      <c r="AE1" s="1166">
        <f>'Cash Flow'!AH10</f>
        <v>2050</v>
      </c>
    </row>
    <row r="2" s="417" customFormat="1" ht="16" customHeight="1">
      <c r="A2" t="s" s="417">
        <v>826</v>
      </c>
      <c r="B2" s="417">
        <v>1</v>
      </c>
      <c r="C2" s="417">
        <v>2</v>
      </c>
      <c r="D2" s="417">
        <v>3</v>
      </c>
      <c r="E2" s="417">
        <f>D2+1</f>
        <v>4</v>
      </c>
      <c r="F2" s="417">
        <f>E2+1</f>
        <v>5</v>
      </c>
      <c r="G2" s="417">
        <f>F2+1</f>
        <v>6</v>
      </c>
      <c r="H2" s="417">
        <f>G2+1</f>
        <v>7</v>
      </c>
      <c r="I2" s="417">
        <f>H2+1</f>
        <v>8</v>
      </c>
      <c r="J2" s="417">
        <f>I2+1</f>
        <v>9</v>
      </c>
      <c r="K2" s="417">
        <f>J2+1</f>
        <v>10</v>
      </c>
      <c r="L2" s="417">
        <f>K2+1</f>
        <v>11</v>
      </c>
      <c r="M2" s="417">
        <f>L2+1</f>
        <v>12</v>
      </c>
      <c r="N2" s="417">
        <f>M2+1</f>
        <v>13</v>
      </c>
      <c r="O2" s="417">
        <f>N2+1</f>
        <v>14</v>
      </c>
      <c r="P2" s="417">
        <f>O2+1</f>
        <v>15</v>
      </c>
      <c r="Q2" s="417">
        <f>P2+1</f>
        <v>16</v>
      </c>
      <c r="R2" s="417">
        <f>Q2+1</f>
        <v>17</v>
      </c>
      <c r="S2" s="417">
        <f>R2+1</f>
        <v>18</v>
      </c>
      <c r="T2" s="417">
        <f>S2+1</f>
        <v>19</v>
      </c>
      <c r="U2" s="417">
        <f>T2+1</f>
        <v>20</v>
      </c>
      <c r="V2" s="417">
        <f>U2+1</f>
        <v>21</v>
      </c>
      <c r="W2" s="417">
        <f>V2+1</f>
        <v>22</v>
      </c>
      <c r="X2" s="417">
        <f>W2+1</f>
        <v>23</v>
      </c>
      <c r="Y2" s="417">
        <f>X2+1</f>
        <v>24</v>
      </c>
      <c r="Z2" s="417">
        <f>Y2+1</f>
        <v>25</v>
      </c>
      <c r="AA2" s="417">
        <f>Z2+1</f>
        <v>26</v>
      </c>
      <c r="AB2" s="417">
        <f>AA2+1</f>
        <v>27</v>
      </c>
      <c r="AC2" s="417">
        <f>AB2+1</f>
        <v>28</v>
      </c>
      <c r="AD2" s="417">
        <f>AC2+1</f>
        <v>29</v>
      </c>
      <c r="AE2" s="417">
        <f>AD2+1</f>
        <v>30</v>
      </c>
    </row>
    <row r="3" s="417" customFormat="1" ht="16" customHeight="1">
      <c r="A3" t="s" s="467">
        <f>'Project Information'!C10</f>
        <v>572</v>
      </c>
      <c r="B3" s="435">
        <f>'I&amp;E'!E41/1000</f>
        <v>309.8290989463601</v>
      </c>
      <c r="C3" s="435">
        <f>'I&amp;E'!F41/1000</f>
        <v>320.2102654762213</v>
      </c>
      <c r="D3" s="435">
        <f>'I&amp;E'!G41/1000</f>
        <v>331.7797979087317</v>
      </c>
      <c r="E3" s="435">
        <f>'I&amp;E'!H41/1000</f>
        <v>342.6298803110046</v>
      </c>
      <c r="F3" s="435">
        <f>'I&amp;E'!I41/1000</f>
        <v>354.7444960493169</v>
      </c>
      <c r="G3" s="435">
        <f>'I&amp;E'!J41/1000</f>
        <v>368.1689519695697</v>
      </c>
      <c r="H3" s="435">
        <f>'I&amp;E'!K41/1000</f>
        <v>382.5823986490199</v>
      </c>
      <c r="I3" s="435">
        <f>'I&amp;E'!L41/1000</f>
        <v>398.3975114356392</v>
      </c>
      <c r="J3" s="435">
        <f>'I&amp;E'!M41/1000</f>
        <v>415.6637367871763</v>
      </c>
      <c r="K3" s="435">
        <f>'I&amp;E'!N41/1000</f>
        <v>433.9436041454856</v>
      </c>
      <c r="L3" s="435">
        <f>'I&amp;E'!O41/1000</f>
        <v>453.7756039250513</v>
      </c>
      <c r="M3" s="435">
        <f>'I&amp;E'!P41/1000</f>
        <v>475.2128564310135</v>
      </c>
      <c r="N3" s="435">
        <f>'I&amp;E'!Q41/1000</f>
        <v>497.7018036770793</v>
      </c>
      <c r="O3" s="435">
        <f>'I&amp;E'!R41/1000</f>
        <v>521.9073171720888</v>
      </c>
      <c r="P3" s="435">
        <f>'I&amp;E'!S41/1000</f>
        <v>547.8887547891683</v>
      </c>
      <c r="Q3" s="435">
        <f>'I&amp;E'!T41/1000</f>
        <v>575.1000230193158</v>
      </c>
      <c r="R3" s="435">
        <f>'I&amp;E'!U41/1000</f>
        <v>604.2096619251587</v>
      </c>
      <c r="S3" s="435">
        <f>'I&amp;E'!V41/1000</f>
        <v>635.2839242796119</v>
      </c>
      <c r="T3" s="435">
        <f>'I&amp;E'!W41/1000</f>
        <v>667.5369475527907</v>
      </c>
      <c r="U3" s="435">
        <f>'I&amp;E'!X41/1000</f>
        <v>701.889285041335</v>
      </c>
      <c r="V3" s="435">
        <f>'I&amp;E'!Y41/1000</f>
        <v>738.4117773857917</v>
      </c>
      <c r="W3" s="435">
        <f>'I&amp;E'!Z41/1000</f>
        <v>776.205471715494</v>
      </c>
      <c r="X3" s="435">
        <f>'I&amp;E'!AA41/1000</f>
        <v>816.3183538741744</v>
      </c>
      <c r="Y3" s="435">
        <f>'I&amp;E'!AB41/1000</f>
        <v>858.8286442256973</v>
      </c>
      <c r="Z3" s="435">
        <f>'I&amp;E'!AC41/1000</f>
        <v>902.7221060032384</v>
      </c>
      <c r="AA3" s="435">
        <f>'I&amp;E'!AD41/1000</f>
        <v>949.1769891340184</v>
      </c>
      <c r="AB3" s="435">
        <f>'I&amp;E'!AE41/1000</f>
        <v>998.2807508516337</v>
      </c>
      <c r="AC3" s="435">
        <f>'I&amp;E'!AF41/1000</f>
        <v>1048.661906166154</v>
      </c>
      <c r="AD3" s="435">
        <f>'I&amp;E'!AG41/1000</f>
        <v>1101.870562502864</v>
      </c>
      <c r="AE3" s="435">
        <f>'I&amp;E'!AH41/1000</f>
        <v>1157.879425257492</v>
      </c>
    </row>
    <row r="4" s="417" customFormat="1" ht="16" customHeight="1">
      <c r="A4" s="468"/>
    </row>
    <row r="6" s="417" customFormat="1" ht="16" customHeight="1">
      <c r="A6" t="s" s="417">
        <v>1096</v>
      </c>
      <c r="B6" s="443">
        <f>'Cash Flow'!E55/1000</f>
        <v>1090.501005972222</v>
      </c>
      <c r="C6" s="443">
        <f>'Cash Flow'!F55/1000</f>
        <v>7.311996529861106</v>
      </c>
      <c r="D6" s="443">
        <f>'Cash Flow'!G55/1000</f>
        <v>8.36225243251041</v>
      </c>
      <c r="E6" s="443">
        <f>'Cash Flow'!H55/1000</f>
        <v>7.498472402272964</v>
      </c>
      <c r="F6" s="443">
        <f>'Cash Flow'!I55/1000</f>
        <v>8.612185738312327</v>
      </c>
      <c r="G6" s="443">
        <f>'Cash Flow'!J55/1000</f>
        <v>9.764415920252731</v>
      </c>
      <c r="H6" s="443">
        <f>'Cash Flow'!K55/1000</f>
        <v>10.58870667945031</v>
      </c>
      <c r="I6" s="443">
        <f>'Cash Flow'!L55/1000</f>
        <v>11.81825278661925</v>
      </c>
      <c r="J6" s="443">
        <f>'Cash Flow'!M55/1000</f>
        <v>13.0895053515372</v>
      </c>
      <c r="K6" s="443">
        <f>'Cash Flow'!N55/1000</f>
        <v>13.91519735830927</v>
      </c>
      <c r="L6" s="443">
        <f>'Cash Flow'!O55/1000</f>
        <v>15.27091977956564</v>
      </c>
      <c r="M6" s="443">
        <f>'Cash Flow'!P55/1000</f>
        <v>16.67092250596223</v>
      </c>
      <c r="N6" s="443">
        <f>'Cash Flow'!Q55/1000</f>
        <v>17.50813724606577</v>
      </c>
      <c r="O6" s="443">
        <f>'Cash Flow'!R55/1000</f>
        <v>19.00056349500955</v>
      </c>
      <c r="P6" s="443">
        <f>'Cash Flow'!S55/1000</f>
        <v>20.54226761707944</v>
      </c>
      <c r="Q6" s="443">
        <f>'Cash Flow'!T55/1000</f>
        <v>21.52733823014754</v>
      </c>
      <c r="R6" s="443">
        <f>'Cash Flow'!U55/1000</f>
        <v>23.16992890584294</v>
      </c>
      <c r="S6" s="443">
        <f>'Cash Flow'!V55/1000</f>
        <v>24.86726235445317</v>
      </c>
      <c r="T6" s="443">
        <f>'Cash Flow'!W55/1000</f>
        <v>25.76671327317888</v>
      </c>
      <c r="U6" s="443">
        <f>'Cash Flow'!X55/1000</f>
        <v>27.57413748854432</v>
      </c>
      <c r="V6" s="443">
        <f>'Cash Flow'!Y55/1000</f>
        <v>29.43927234445657</v>
      </c>
      <c r="W6" s="443">
        <f>'Cash Flow'!Z55/1000</f>
        <v>30.39173432970247</v>
      </c>
      <c r="X6" s="443">
        <f>'Cash Flow'!AA55/1000</f>
        <v>32.37783215868031</v>
      </c>
      <c r="Y6" s="443">
        <f>'Cash Flow'!AB55/1000</f>
        <v>34.42716035152291</v>
      </c>
      <c r="Z6" s="443">
        <f>'Cash Flow'!AC55/1000</f>
        <v>35.44659177754122</v>
      </c>
      <c r="AA6" s="443">
        <f>'Cash Flow'!AD55/1000</f>
        <v>37.62790313077992</v>
      </c>
      <c r="AB6" s="443">
        <f>'Cash Flow'!AE55/1000</f>
        <v>39.87957171761536</v>
      </c>
      <c r="AC6" s="443">
        <f>'Cash Flow'!AF55/1000</f>
        <v>40.74187531452043</v>
      </c>
      <c r="AD6" s="443">
        <f>'Cash Flow'!AG55/1000</f>
        <v>43.13560633670951</v>
      </c>
      <c r="AE6" s="443">
        <f>'Cash Flow'!AH55/1000</f>
        <v>45.48253275462805</v>
      </c>
    </row>
    <row r="8" s="417" customFormat="1" ht="16" customHeight="1">
      <c r="A8" t="s" s="417">
        <v>1097</v>
      </c>
      <c r="B8" s="417">
        <f>('Balance Sheet'!E29+'Balance Sheet'!E21)/1000</f>
        <v>-520.5443090277778</v>
      </c>
      <c r="C8" s="417">
        <f>('Balance Sheet'!F29+'Balance Sheet'!F21)/1000</f>
        <v>-510.1631424979166</v>
      </c>
      <c r="D8" s="417">
        <f>('Balance Sheet'!G29+'Balance Sheet'!G21)/1000</f>
        <v>-498.5936100654063</v>
      </c>
      <c r="E8" s="417">
        <f>('Balance Sheet'!H29+'Balance Sheet'!H21)/1000</f>
        <v>-487.7435276631333</v>
      </c>
      <c r="F8" s="417">
        <f>('Balance Sheet'!I29+'Balance Sheet'!I21)/1000</f>
        <v>-475.628911924821</v>
      </c>
      <c r="G8" s="417">
        <f>('Balance Sheet'!J29+'Balance Sheet'!J21)/1000</f>
        <v>-462.2044560045682</v>
      </c>
      <c r="H8" s="417">
        <f>('Balance Sheet'!K29+'Balance Sheet'!K21)/1000</f>
        <v>-447.7910093251179</v>
      </c>
      <c r="I8" s="417">
        <f>('Balance Sheet'!L29+'Balance Sheet'!L21)/1000</f>
        <v>-431.9758965384987</v>
      </c>
      <c r="J8" s="417">
        <f>('Balance Sheet'!M29+'Balance Sheet'!M21)/1000</f>
        <v>-414.7096711869615</v>
      </c>
      <c r="K8" s="417">
        <f>('Balance Sheet'!N29+'Balance Sheet'!N21)/1000</f>
        <v>-396.4298038286522</v>
      </c>
      <c r="L8" s="417">
        <f>('Balance Sheet'!O29+'Balance Sheet'!O21)/1000</f>
        <v>-376.5978040490865</v>
      </c>
      <c r="M8" s="417">
        <f>('Balance Sheet'!P29+'Balance Sheet'!P21)/1000</f>
        <v>-355.1605515431243</v>
      </c>
      <c r="N8" s="417">
        <f>('Balance Sheet'!Q29+'Balance Sheet'!Q21)/1000</f>
        <v>-332.6716042970585</v>
      </c>
      <c r="O8" s="417">
        <f>('Balance Sheet'!R29+'Balance Sheet'!R21)/1000</f>
        <v>-308.466090802049</v>
      </c>
      <c r="P8" s="417">
        <f>('Balance Sheet'!S29+'Balance Sheet'!S21)/1000</f>
        <v>-282.4846531849695</v>
      </c>
      <c r="Q8" s="417">
        <f>('Balance Sheet'!T29+'Balance Sheet'!T21)/1000</f>
        <v>-255.2733849548219</v>
      </c>
      <c r="R8" s="417">
        <f>('Balance Sheet'!U29+'Balance Sheet'!U21)/1000</f>
        <v>-226.163746048979</v>
      </c>
      <c r="S8" s="417">
        <f>('Balance Sheet'!V29+'Balance Sheet'!V21)/1000</f>
        <v>-195.0894836945259</v>
      </c>
      <c r="T8" s="417">
        <f>('Balance Sheet'!W29+'Balance Sheet'!W21)/1000</f>
        <v>-162.836460421347</v>
      </c>
      <c r="U8" s="417">
        <f>('Balance Sheet'!X29+'Balance Sheet'!X21)/1000</f>
        <v>-128.4841229328026</v>
      </c>
      <c r="V8" s="417">
        <f>('Balance Sheet'!Y29+'Balance Sheet'!Y21)/1000</f>
        <v>-91.9616305883461</v>
      </c>
      <c r="W8" s="417">
        <f>('Balance Sheet'!Z29+'Balance Sheet'!Z21)/1000</f>
        <v>-54.16793625864364</v>
      </c>
      <c r="X8" s="417">
        <f>('Balance Sheet'!AA29+'Balance Sheet'!AA21)/1000</f>
        <v>-14.05505409996334</v>
      </c>
      <c r="Y8" s="417">
        <f>('Balance Sheet'!AB29+'Balance Sheet'!AB21)/1000</f>
        <v>28.45523625155957</v>
      </c>
      <c r="Z8" s="417">
        <f>('Balance Sheet'!AC29+'Balance Sheet'!AC21)/1000</f>
        <v>72.34869802910077</v>
      </c>
      <c r="AA8" s="417">
        <f>('Balance Sheet'!AD29+'Balance Sheet'!AD21)/1000</f>
        <v>118.8035811598807</v>
      </c>
      <c r="AB8" s="417">
        <f>('Balance Sheet'!AE29+'Balance Sheet'!AE21)/1000</f>
        <v>167.9073428774961</v>
      </c>
      <c r="AC8" s="417">
        <f>('Balance Sheet'!AF29+'Balance Sheet'!AF21)/1000</f>
        <v>218.2884981920166</v>
      </c>
      <c r="AD8" s="417">
        <f>('Balance Sheet'!AG29+'Balance Sheet'!AG21)/1000</f>
        <v>271.4971545287261</v>
      </c>
      <c r="AE8" s="417">
        <f>('Balance Sheet'!AH29+'Balance Sheet'!AH21)/1000</f>
        <v>327.5060172833542</v>
      </c>
    </row>
    <row r="12" s="417" customFormat="1" ht="16" customHeight="1">
      <c r="A12" t="s" s="467">
        <v>1098</v>
      </c>
      <c r="B12" s="417">
        <f>'Cash Flow'!E57/1000</f>
        <v>0.7830059722221923</v>
      </c>
      <c r="C12" s="417">
        <f>'Cash Flow'!F57/1000</f>
        <v>8.095002502083299</v>
      </c>
      <c r="D12" s="417">
        <f>'Cash Flow'!G57/1000</f>
        <v>16.45725493459371</v>
      </c>
      <c r="E12" s="417">
        <f>'Cash Flow'!H57/1000</f>
        <v>23.95572733686667</v>
      </c>
      <c r="F12" s="417">
        <f>'Cash Flow'!I57/1000</f>
        <v>32.567913075179</v>
      </c>
      <c r="G12" s="417">
        <f>'Cash Flow'!J57/1000</f>
        <v>42.33232899543173</v>
      </c>
      <c r="H12" s="417">
        <f>'Cash Flow'!K57/1000</f>
        <v>52.92103567488203</v>
      </c>
      <c r="I12" s="417">
        <f>'Cash Flow'!L57/1000</f>
        <v>64.73928846150129</v>
      </c>
      <c r="J12" s="417">
        <f>'Cash Flow'!M57/1000</f>
        <v>77.82879381303849</v>
      </c>
      <c r="K12" s="417">
        <f>'Cash Flow'!N57/1000</f>
        <v>91.74399117134776</v>
      </c>
      <c r="L12" s="417">
        <f>'Cash Flow'!O57/1000</f>
        <v>107.0149109509134</v>
      </c>
      <c r="M12" s="417">
        <f>'Cash Flow'!P57/1000</f>
        <v>123.6858334568756</v>
      </c>
      <c r="N12" s="417">
        <f>'Cash Flow'!Q57/1000</f>
        <v>141.1939707029414</v>
      </c>
      <c r="O12" s="417">
        <f>'Cash Flow'!R57/1000</f>
        <v>160.194534197951</v>
      </c>
      <c r="P12" s="417">
        <f>'Cash Flow'!S57/1000</f>
        <v>180.7368018150304</v>
      </c>
      <c r="Q12" s="417">
        <f>'Cash Flow'!T57/1000</f>
        <v>202.264140045178</v>
      </c>
      <c r="R12" s="417">
        <f>'Cash Flow'!U57/1000</f>
        <v>225.4340689510209</v>
      </c>
      <c r="S12" s="417">
        <f>'Cash Flow'!V57/1000</f>
        <v>250.3013313054741</v>
      </c>
      <c r="T12" s="417">
        <f>'Cash Flow'!W57/1000</f>
        <v>276.068044578653</v>
      </c>
      <c r="U12" s="417">
        <f>'Cash Flow'!X57/1000</f>
        <v>303.6421820671973</v>
      </c>
      <c r="V12" s="417">
        <f>'Cash Flow'!Y57/1000</f>
        <v>333.0814544116539</v>
      </c>
      <c r="W12" s="417">
        <f>'Cash Flow'!Z57/1000</f>
        <v>363.4731887413563</v>
      </c>
      <c r="X12" s="417">
        <f>'Cash Flow'!AA57/1000</f>
        <v>395.8510209000366</v>
      </c>
      <c r="Y12" s="417">
        <f>'Cash Flow'!AB57/1000</f>
        <v>430.2781812515595</v>
      </c>
      <c r="Z12" s="417">
        <f>'Cash Flow'!AC57/1000</f>
        <v>465.7247730291007</v>
      </c>
      <c r="AA12" s="417">
        <f>'Cash Flow'!AD57/1000</f>
        <v>503.3526761598807</v>
      </c>
      <c r="AB12" s="417">
        <f>'Cash Flow'!AE57/1000</f>
        <v>543.2322478774961</v>
      </c>
      <c r="AC12" s="417">
        <f>'Cash Flow'!AF57/1000</f>
        <v>583.9741231920165</v>
      </c>
      <c r="AD12" s="417">
        <f>'Cash Flow'!AG57/1000</f>
        <v>627.109729528726</v>
      </c>
      <c r="AE12" s="417">
        <f>'Cash Flow'!AH57/1000</f>
        <v>672.5922622833541</v>
      </c>
    </row>
    <row r="400" s="417" customFormat="1" ht="16" customHeight="1">
      <c r="A400" s="411">
        <v>42779</v>
      </c>
    </row>
  </sheetData>
  <pageMargins left="0.75" right="0.75" top="1" bottom="1" header="0.5" footer="0.5"/>
  <pageSetup firstPageNumber="1" fitToHeight="1" fitToWidth="1" scale="100" useFirstPageNumber="0" orientation="portrait" pageOrder="downThenOver"/>
  <headerFooter>
    <oddFooter>&amp;L&amp;"Helvetica,Regular"&amp;12&amp;K000000	&amp;P</oddFooter>
  </headerFooter>
</worksheet>
</file>

<file path=xl/worksheets/sheet34.xml><?xml version="1.0" encoding="utf-8"?>
<worksheet xmlns:r="http://schemas.openxmlformats.org/officeDocument/2006/relationships" xmlns="http://schemas.openxmlformats.org/spreadsheetml/2006/main">
  <sheetPr>
    <pageSetUpPr fitToPage="1"/>
  </sheetPr>
  <dimension ref="A1:CD482"/>
  <sheetViews>
    <sheetView workbookViewId="0" showGridLines="0" defaultGridColor="1"/>
  </sheetViews>
  <sheetFormatPr defaultColWidth="8.375" defaultRowHeight="18" customHeight="1" outlineLevelRow="0" outlineLevelCol="0"/>
  <cols>
    <col min="1" max="1" width="7.875" style="1167" customWidth="1"/>
    <col min="2" max="2" width="31.5" style="1167" customWidth="1"/>
    <col min="3" max="3" width="16.125" style="1167" customWidth="1"/>
    <col min="4" max="4" width="3.5" style="1167" customWidth="1"/>
    <col min="5" max="5" width="3.5" style="1167" customWidth="1"/>
    <col min="6" max="6" width="11.625" style="1167" customWidth="1"/>
    <col min="7" max="7" width="31.5" style="1167" customWidth="1"/>
    <col min="8" max="8" width="8.625" style="1167" customWidth="1"/>
    <col min="9" max="9" width="4.625" style="1167" customWidth="1"/>
    <col min="10" max="10" width="8.625" style="1167" customWidth="1"/>
    <col min="11" max="11" width="31.5" style="1167" customWidth="1"/>
    <col min="12" max="12" width="9" style="1167" customWidth="1"/>
    <col min="13" max="13" width="5.25" style="1167" customWidth="1"/>
    <col min="14" max="14" width="5.625" style="1167" customWidth="1"/>
    <col min="15" max="15" width="31.5" style="1167" customWidth="1"/>
    <col min="16" max="16" width="10.125" style="1167" customWidth="1"/>
    <col min="17" max="17" width="7" style="1167" customWidth="1"/>
    <col min="18" max="18" width="8.125" style="1167" customWidth="1"/>
    <col min="19" max="19" width="31.5" style="1167" customWidth="1"/>
    <col min="20" max="20" width="9.5" style="1167" customWidth="1"/>
    <col min="21" max="21" width="8.125" style="1167" customWidth="1"/>
    <col min="22" max="22" width="8.5" style="1167" customWidth="1"/>
    <col min="23" max="23" width="31.5" style="1167" customWidth="1"/>
    <col min="24" max="24" width="10.5" style="1167" customWidth="1"/>
    <col min="25" max="25" width="6.375" style="1167" customWidth="1"/>
    <col min="26" max="26" width="6.875" style="1167" customWidth="1"/>
    <col min="27" max="27" width="31.5" style="1167" customWidth="1"/>
    <col min="28" max="28" width="9.625" style="1167" customWidth="1"/>
    <col min="29" max="29" width="4.625" style="1167" customWidth="1"/>
    <col min="30" max="30" width="9" style="1167" customWidth="1"/>
    <col min="31" max="31" width="39.5" style="1167" customWidth="1"/>
    <col min="32" max="32" width="9.625" style="1167" customWidth="1"/>
    <col min="33" max="33" width="6.875" style="1167" customWidth="1"/>
    <col min="34" max="34" width="8.375" style="1167" customWidth="1"/>
    <col min="35" max="35" width="40.75" style="1167" customWidth="1"/>
    <col min="36" max="36" width="9" style="1167" customWidth="1"/>
    <col min="37" max="37" width="4.625" style="1167" customWidth="1"/>
    <col min="38" max="38" width="8.125" style="1167" customWidth="1"/>
    <col min="39" max="39" width="40.5" style="1167" customWidth="1"/>
    <col min="40" max="40" width="7.5" style="1167" customWidth="1"/>
    <col min="41" max="41" width="4.625" style="1167" customWidth="1"/>
    <col min="42" max="42" width="5.625" style="1167" customWidth="1"/>
    <col min="43" max="43" width="40.5" style="1167" customWidth="1"/>
    <col min="44" max="44" width="7.5" style="1167" customWidth="1"/>
    <col min="45" max="45" width="8.375" style="1167" customWidth="1"/>
    <col min="46" max="46" width="8.375" style="1167" customWidth="1"/>
    <col min="47" max="47" width="35.875" style="1167" customWidth="1"/>
    <col min="48" max="48" width="6.375" style="1167" customWidth="1"/>
    <col min="49" max="49" width="8.375" style="1167" customWidth="1"/>
    <col min="50" max="50" width="8.375" style="1167" customWidth="1"/>
    <col min="51" max="51" width="35.875" style="1167" customWidth="1"/>
    <col min="52" max="52" width="6.375" style="1167" customWidth="1"/>
    <col min="53" max="53" width="8.375" style="1167" customWidth="1"/>
    <col min="54" max="54" width="8.375" style="1167" customWidth="1"/>
    <col min="55" max="55" width="8.375" style="1167" customWidth="1"/>
    <col min="56" max="56" width="8.375" style="1167" customWidth="1"/>
    <col min="57" max="57" width="7.875" style="1167" customWidth="1"/>
    <col min="58" max="58" width="6.875" style="1167" customWidth="1"/>
    <col min="59" max="59" width="4.375" style="1167" customWidth="1"/>
    <col min="60" max="60" width="7.875" style="1167" customWidth="1"/>
    <col min="61" max="61" width="7.875" style="1167" customWidth="1"/>
    <col min="62" max="62" width="3.5" style="1167" customWidth="1"/>
    <col min="63" max="63" width="7.875" style="1167" customWidth="1"/>
    <col min="64" max="64" width="6.875" style="1167" customWidth="1"/>
    <col min="65" max="65" width="4.375" style="1167" customWidth="1"/>
    <col min="66" max="66" width="7.875" style="1167" customWidth="1"/>
    <col min="67" max="67" width="7.875" style="1167" customWidth="1"/>
    <col min="68" max="68" width="3.5" style="1167" customWidth="1"/>
    <col min="69" max="69" width="7.875" style="1167" customWidth="1"/>
    <col min="70" max="70" width="6.875" style="1167" customWidth="1"/>
    <col min="71" max="71" width="4.375" style="1167" customWidth="1"/>
    <col min="72" max="72" width="7.875" style="1167" customWidth="1"/>
    <col min="73" max="73" width="7.875" style="1167" customWidth="1"/>
    <col min="74" max="74" width="3.5" style="1167" customWidth="1"/>
    <col min="75" max="75" width="3.5" style="1167" customWidth="1"/>
    <col min="76" max="76" width="13.875" style="1167" customWidth="1"/>
    <col min="77" max="77" width="20.75" style="1167" customWidth="1"/>
    <col min="78" max="78" width="10.25" style="1167" customWidth="1"/>
    <col min="79" max="79" width="13.875" style="1167" customWidth="1"/>
    <col min="80" max="80" width="8.375" style="1167" customWidth="1"/>
    <col min="81" max="81" width="8.375" style="1167" customWidth="1"/>
    <col min="82" max="82" width="8.375" style="1167" customWidth="1"/>
    <col min="83" max="256" width="8.375" style="1167" customWidth="1"/>
  </cols>
  <sheetData>
    <row r="1" ht="18" customHeight="1">
      <c r="A1" s="1168"/>
      <c r="B1" t="s" s="1169">
        <v>1100</v>
      </c>
      <c r="C1" s="1170"/>
      <c r="D1" s="1171"/>
      <c r="E1" s="1172"/>
      <c r="F1" s="1173"/>
      <c r="G1" t="s" s="1169">
        <v>1101</v>
      </c>
      <c r="H1" s="1174"/>
      <c r="I1" s="1175"/>
      <c r="J1" s="1173"/>
      <c r="K1" t="s" s="1169">
        <v>91</v>
      </c>
      <c r="L1" s="1174"/>
      <c r="M1" s="1175"/>
      <c r="N1" s="1173"/>
      <c r="O1" t="s" s="1169">
        <v>74</v>
      </c>
      <c r="P1" s="1174"/>
      <c r="Q1" s="1175"/>
      <c r="R1" s="203"/>
      <c r="S1" s="1176"/>
      <c r="T1" s="1177"/>
      <c r="U1" s="1175"/>
      <c r="V1" s="1173"/>
      <c r="W1" t="s" s="1169">
        <v>84</v>
      </c>
      <c r="X1" s="1174"/>
      <c r="Y1" s="1175"/>
      <c r="Z1" s="1173"/>
      <c r="AA1" s="1178"/>
      <c r="AB1" s="1174"/>
      <c r="AC1" s="1175"/>
      <c r="AD1" s="203"/>
      <c r="AE1" s="1176"/>
      <c r="AF1" s="1177"/>
      <c r="AG1" s="1175"/>
      <c r="AH1" s="203"/>
      <c r="AI1" s="1176"/>
      <c r="AJ1" s="1177"/>
      <c r="AK1" s="203"/>
      <c r="AL1" s="203"/>
      <c r="AM1" s="1176"/>
      <c r="AN1" s="1177"/>
      <c r="AO1" s="1175"/>
      <c r="AP1" s="203"/>
      <c r="AQ1" s="203"/>
      <c r="AR1" s="203"/>
      <c r="AS1" s="203"/>
      <c r="AT1" s="203"/>
      <c r="AU1" s="203"/>
      <c r="AV1" s="203"/>
      <c r="AW1" s="203"/>
      <c r="AX1" s="203"/>
      <c r="AY1" s="203"/>
      <c r="AZ1" s="203"/>
      <c r="BA1" s="203"/>
      <c r="BB1" s="203"/>
      <c r="BC1" s="203"/>
      <c r="BD1" s="203"/>
      <c r="BE1" s="86"/>
      <c r="BF1" s="86"/>
      <c r="BG1" s="86"/>
      <c r="BH1" s="86"/>
      <c r="BI1" s="86"/>
      <c r="BJ1" s="86"/>
      <c r="BK1" s="86"/>
      <c r="BL1" s="86"/>
      <c r="BM1" s="86"/>
      <c r="BN1" s="86"/>
      <c r="BO1" s="86"/>
      <c r="BP1" s="86"/>
      <c r="BQ1" s="86"/>
      <c r="BR1" s="86"/>
      <c r="BS1" s="86"/>
      <c r="BT1" s="86"/>
      <c r="BU1" s="86"/>
      <c r="BV1" s="86"/>
      <c r="BW1" s="86"/>
      <c r="BX1" s="1177"/>
      <c r="BY1" s="1177"/>
      <c r="BZ1" s="1179"/>
      <c r="CA1" s="1179"/>
      <c r="CB1" s="1179"/>
      <c r="CC1" s="1179"/>
      <c r="CD1" s="1180"/>
    </row>
    <row r="2" ht="18" customHeight="1">
      <c r="A2" s="207"/>
      <c r="B2" s="873"/>
      <c r="C2" s="208"/>
      <c r="D2" s="1181"/>
      <c r="E2" s="1182"/>
      <c r="F2" s="208"/>
      <c r="G2" s="1183"/>
      <c r="H2" s="1184"/>
      <c r="I2" s="208"/>
      <c r="J2" s="1185"/>
      <c r="K2" s="1183"/>
      <c r="L2" s="1184"/>
      <c r="M2" s="208"/>
      <c r="N2" s="1185"/>
      <c r="O2" s="1183"/>
      <c r="P2" s="1184"/>
      <c r="Q2" s="208"/>
      <c r="R2" s="1185"/>
      <c r="S2" s="1185"/>
      <c r="T2" s="1184"/>
      <c r="U2" s="208"/>
      <c r="V2" s="1185"/>
      <c r="W2" s="1183"/>
      <c r="X2" s="1184"/>
      <c r="Y2" s="208"/>
      <c r="Z2" s="1185"/>
      <c r="AA2" s="1183"/>
      <c r="AB2" s="1184"/>
      <c r="AC2" s="208"/>
      <c r="AD2" s="1185"/>
      <c r="AE2" s="1185"/>
      <c r="AF2" s="1184"/>
      <c r="AG2" s="208"/>
      <c r="AH2" s="1185"/>
      <c r="AI2" s="1185"/>
      <c r="AJ2" s="1184"/>
      <c r="AK2" s="1185"/>
      <c r="AL2" s="1185"/>
      <c r="AM2" s="1185"/>
      <c r="AN2" s="1184"/>
      <c r="AO2" s="208"/>
      <c r="AP2" s="1185"/>
      <c r="AQ2" s="1185"/>
      <c r="AR2" s="1185"/>
      <c r="AS2" s="1185"/>
      <c r="AT2" s="1185"/>
      <c r="AU2" s="1185"/>
      <c r="AV2" s="1185"/>
      <c r="AW2" s="208"/>
      <c r="AX2" s="208"/>
      <c r="AY2" s="208"/>
      <c r="AZ2" s="208"/>
      <c r="BA2" s="208"/>
      <c r="BB2" s="208"/>
      <c r="BC2" s="208"/>
      <c r="BD2" s="208"/>
      <c r="BE2" s="86"/>
      <c r="BF2" s="86"/>
      <c r="BG2" s="86"/>
      <c r="BH2" s="86"/>
      <c r="BI2" s="86"/>
      <c r="BJ2" s="86"/>
      <c r="BK2" s="86"/>
      <c r="BL2" s="86"/>
      <c r="BM2" s="86"/>
      <c r="BN2" s="86"/>
      <c r="BO2" s="86"/>
      <c r="BP2" s="86"/>
      <c r="BQ2" s="86"/>
      <c r="BR2" s="86"/>
      <c r="BS2" s="86"/>
      <c r="BT2" s="86"/>
      <c r="BU2" s="86"/>
      <c r="BV2" s="86"/>
      <c r="BW2" s="86"/>
      <c r="BX2" s="1184"/>
      <c r="BY2" s="1184"/>
      <c r="BZ2" s="1186"/>
      <c r="CA2" s="1186"/>
      <c r="CB2" s="1186"/>
      <c r="CC2" s="1186"/>
      <c r="CD2" s="1187"/>
    </row>
    <row r="3" ht="18" customHeight="1">
      <c r="A3" s="207"/>
      <c r="B3" s="208"/>
      <c r="C3" s="210"/>
      <c r="D3" s="1181"/>
      <c r="E3" s="1182"/>
      <c r="F3" s="208"/>
      <c r="G3" s="208"/>
      <c r="H3" s="210"/>
      <c r="I3" s="208"/>
      <c r="J3" s="1185"/>
      <c r="K3" s="208"/>
      <c r="L3" s="210"/>
      <c r="M3" s="208"/>
      <c r="N3" s="1185"/>
      <c r="O3" s="208"/>
      <c r="P3" s="210"/>
      <c r="Q3" s="208"/>
      <c r="R3" s="1185"/>
      <c r="S3" s="1185"/>
      <c r="T3" s="1185"/>
      <c r="U3" s="208"/>
      <c r="V3" s="1185"/>
      <c r="W3" s="208"/>
      <c r="X3" s="210"/>
      <c r="Y3" s="208"/>
      <c r="Z3" s="1185"/>
      <c r="AA3" s="208"/>
      <c r="AB3" s="210"/>
      <c r="AC3" s="208"/>
      <c r="AD3" s="1185"/>
      <c r="AE3" s="1185"/>
      <c r="AF3" s="1185"/>
      <c r="AG3" s="208"/>
      <c r="AH3" s="1185"/>
      <c r="AI3" s="1185"/>
      <c r="AJ3" s="1185"/>
      <c r="AK3" s="1185"/>
      <c r="AL3" s="1185"/>
      <c r="AM3" s="1185"/>
      <c r="AN3" s="1185"/>
      <c r="AO3" s="208"/>
      <c r="AP3" s="1185"/>
      <c r="AQ3" s="1185"/>
      <c r="AR3" s="1185"/>
      <c r="AS3" s="1185"/>
      <c r="AT3" s="1185"/>
      <c r="AU3" s="1185"/>
      <c r="AV3" s="1185"/>
      <c r="AW3" s="208"/>
      <c r="AX3" s="208"/>
      <c r="AY3" s="208"/>
      <c r="AZ3" s="208"/>
      <c r="BA3" s="208"/>
      <c r="BB3" s="208"/>
      <c r="BC3" s="208"/>
      <c r="BD3" s="208"/>
      <c r="BE3" s="86"/>
      <c r="BF3" s="86"/>
      <c r="BG3" s="86"/>
      <c r="BH3" s="86"/>
      <c r="BI3" s="86"/>
      <c r="BJ3" s="86"/>
      <c r="BK3" s="86"/>
      <c r="BL3" s="86"/>
      <c r="BM3" s="86"/>
      <c r="BN3" s="86"/>
      <c r="BO3" s="86"/>
      <c r="BP3" s="86"/>
      <c r="BQ3" s="86"/>
      <c r="BR3" s="86"/>
      <c r="BS3" s="86"/>
      <c r="BT3" s="86"/>
      <c r="BU3" s="86"/>
      <c r="BV3" s="86"/>
      <c r="BW3" s="86"/>
      <c r="BX3" s="1184"/>
      <c r="BY3" s="1184"/>
      <c r="BZ3" s="1186"/>
      <c r="CA3" s="1186"/>
      <c r="CB3" s="1186"/>
      <c r="CC3" s="1186"/>
      <c r="CD3" s="1187"/>
    </row>
    <row r="4" ht="18" customHeight="1">
      <c r="A4" s="1188"/>
      <c r="B4" t="s" s="1189">
        <v>1102</v>
      </c>
      <c r="C4" s="1190">
        <f>IF('Project Information'!$C$13=$K$1,L4,IF('Project Information'!$C$13=$O$1,P4,IF('Project Information'!$C$13=$S$1,T4,IF('Project Information'!$C$13=$W$1,X4,IF('Project Information'!$C$13=$AA$1,AB4,IF('Project Information'!$C$13=$AE$1,AF4,IF('Project Information'!$C$13=$AI$1,AJ4,IF('Project Information'!$C$13=$AM$1,AN4,0))))))))</f>
        <v>0</v>
      </c>
      <c r="D4" s="1191"/>
      <c r="E4" s="1182"/>
      <c r="F4" s="1185"/>
      <c r="G4" t="s" s="1189">
        <f>B4</f>
        <v>1102</v>
      </c>
      <c r="H4" s="1190">
        <f t="shared" si="2" ref="H4:X4">'Dev Cash Flow'!$F$18</f>
        <v>0</v>
      </c>
      <c r="I4" s="835"/>
      <c r="J4" s="1185"/>
      <c r="K4" t="s" s="1189">
        <f>B4</f>
        <v>1102</v>
      </c>
      <c r="L4" s="1190">
        <f t="shared" si="2"/>
        <v>0</v>
      </c>
      <c r="M4" s="835"/>
      <c r="N4" s="1185"/>
      <c r="O4" t="s" s="1189">
        <f>B4</f>
        <v>1102</v>
      </c>
      <c r="P4" s="1190">
        <f t="shared" si="2"/>
        <v>0</v>
      </c>
      <c r="Q4" s="835"/>
      <c r="R4" s="1185"/>
      <c r="S4" s="1185"/>
      <c r="T4" s="1192"/>
      <c r="U4" s="208"/>
      <c r="V4" s="1185"/>
      <c r="W4" t="s" s="1189">
        <f>B4</f>
        <v>1102</v>
      </c>
      <c r="X4" s="1190">
        <f t="shared" si="2"/>
        <v>0</v>
      </c>
      <c r="Y4" s="835"/>
      <c r="Z4" s="1185"/>
      <c r="AA4" s="1193"/>
      <c r="AB4" s="1190"/>
      <c r="AC4" s="835"/>
      <c r="AD4" s="1185"/>
      <c r="AE4" s="1185"/>
      <c r="AF4" s="1192"/>
      <c r="AG4" s="208"/>
      <c r="AH4" s="1185"/>
      <c r="AI4" s="1194"/>
      <c r="AJ4" s="1192"/>
      <c r="AK4" s="1185"/>
      <c r="AL4" s="1185"/>
      <c r="AM4" s="1194"/>
      <c r="AN4" s="1192"/>
      <c r="AO4" s="208"/>
      <c r="AP4" s="1185"/>
      <c r="AQ4" s="1185"/>
      <c r="AR4" s="1185"/>
      <c r="AS4" s="1185"/>
      <c r="AT4" s="1185"/>
      <c r="AU4" s="1185"/>
      <c r="AV4" s="1185"/>
      <c r="AW4" s="208"/>
      <c r="AX4" s="208"/>
      <c r="AY4" s="208"/>
      <c r="AZ4" s="208"/>
      <c r="BA4" s="208"/>
      <c r="BB4" s="208"/>
      <c r="BC4" s="208"/>
      <c r="BD4" s="1195"/>
      <c r="BE4" s="86"/>
      <c r="BF4" s="86"/>
      <c r="BG4" s="86"/>
      <c r="BH4" s="86"/>
      <c r="BI4" s="86"/>
      <c r="BJ4" s="86"/>
      <c r="BK4" s="86"/>
      <c r="BL4" s="86"/>
      <c r="BM4" s="86"/>
      <c r="BN4" s="86"/>
      <c r="BO4" s="86"/>
      <c r="BP4" s="86"/>
      <c r="BQ4" s="86"/>
      <c r="BR4" s="86"/>
      <c r="BS4" s="86"/>
      <c r="BT4" s="86"/>
      <c r="BU4" s="86"/>
      <c r="BV4" s="86"/>
      <c r="BW4" s="86"/>
      <c r="BX4" s="1186"/>
      <c r="BY4" s="1186"/>
      <c r="BZ4" s="1186"/>
      <c r="CA4" s="1186"/>
      <c r="CB4" s="208"/>
      <c r="CC4" s="208"/>
      <c r="CD4" s="211"/>
    </row>
    <row r="5" ht="18" customHeight="1">
      <c r="A5" s="1188"/>
      <c r="B5" t="s" s="1189">
        <v>1103</v>
      </c>
      <c r="C5" s="1190">
        <f>IF('Project Information'!$C$13=$K$1,L5,IF('Project Information'!$C$13=$O$1,P5,IF('Project Information'!$C$13=$S$1,T5,IF('Project Information'!$C$13=$W$1,X5,IF('Project Information'!$C$13=$AA$1,AB5,IF('Project Information'!$C$13=$AE$1,AF5,IF('Project Information'!$C$13=$AI$1,AJ5,IF('Project Information'!$C$13=$AM$1,AN5,0))))))))</f>
        <v>200000</v>
      </c>
      <c r="D5" s="1191"/>
      <c r="E5" s="1182"/>
      <c r="F5" s="1185"/>
      <c r="G5" t="s" s="1189">
        <f>B5</f>
        <v>1104</v>
      </c>
      <c r="H5" s="1190">
        <f t="shared" si="11" ref="H5:X5">'Dev Cash Flow'!$F$19</f>
        <v>200000</v>
      </c>
      <c r="I5" s="835"/>
      <c r="J5" s="1185"/>
      <c r="K5" t="s" s="1189">
        <f>B5</f>
        <v>1104</v>
      </c>
      <c r="L5" s="1190">
        <f t="shared" si="11"/>
        <v>200000</v>
      </c>
      <c r="M5" s="835"/>
      <c r="N5" s="1185"/>
      <c r="O5" t="s" s="1189">
        <f>B5</f>
        <v>1104</v>
      </c>
      <c r="P5" s="1190">
        <f t="shared" si="11"/>
        <v>200000</v>
      </c>
      <c r="Q5" s="835"/>
      <c r="R5" s="1185"/>
      <c r="S5" s="1185"/>
      <c r="T5" s="1192"/>
      <c r="U5" s="208"/>
      <c r="V5" s="1185"/>
      <c r="W5" t="s" s="1189">
        <f>B5</f>
        <v>1104</v>
      </c>
      <c r="X5" s="1190">
        <f t="shared" si="11"/>
        <v>200000</v>
      </c>
      <c r="Y5" s="835"/>
      <c r="Z5" s="1185"/>
      <c r="AA5" s="1193"/>
      <c r="AB5" s="1190"/>
      <c r="AC5" s="835"/>
      <c r="AD5" s="1185"/>
      <c r="AE5" s="1185"/>
      <c r="AF5" s="1192"/>
      <c r="AG5" s="208"/>
      <c r="AH5" s="1185"/>
      <c r="AI5" s="1194"/>
      <c r="AJ5" s="1192"/>
      <c r="AK5" s="1185"/>
      <c r="AL5" s="1185"/>
      <c r="AM5" s="1194"/>
      <c r="AN5" s="1192"/>
      <c r="AO5" s="208"/>
      <c r="AP5" s="1185"/>
      <c r="AQ5" s="1185"/>
      <c r="AR5" s="1185"/>
      <c r="AS5" s="1185"/>
      <c r="AT5" s="1185"/>
      <c r="AU5" s="1185"/>
      <c r="AV5" s="1185"/>
      <c r="AW5" s="208"/>
      <c r="AX5" s="208"/>
      <c r="AY5" s="208"/>
      <c r="AZ5" s="208"/>
      <c r="BA5" s="208"/>
      <c r="BB5" s="208"/>
      <c r="BC5" s="208"/>
      <c r="BD5" s="1195"/>
      <c r="BE5" s="86"/>
      <c r="BF5" s="86"/>
      <c r="BG5" s="86"/>
      <c r="BH5" s="86"/>
      <c r="BI5" s="86"/>
      <c r="BJ5" s="86"/>
      <c r="BK5" s="86"/>
      <c r="BL5" s="86"/>
      <c r="BM5" s="86"/>
      <c r="BN5" s="86"/>
      <c r="BO5" s="86"/>
      <c r="BP5" s="86"/>
      <c r="BQ5" s="86"/>
      <c r="BR5" s="86"/>
      <c r="BS5" s="86"/>
      <c r="BT5" s="86"/>
      <c r="BU5" s="86"/>
      <c r="BV5" s="86"/>
      <c r="BW5" s="86"/>
      <c r="BX5" s="1186"/>
      <c r="BY5" s="1186"/>
      <c r="BZ5" s="1186"/>
      <c r="CA5" s="1186"/>
      <c r="CB5" s="208"/>
      <c r="CC5" s="208"/>
      <c r="CD5" s="211"/>
    </row>
    <row r="6" ht="18" customHeight="1">
      <c r="A6" s="1188"/>
      <c r="B6" t="s" s="1189">
        <v>1105</v>
      </c>
      <c r="C6" t="b" s="1196">
        <f>IF('Project Information'!$C$13=$K$1,L6,IF('Project Information'!$C$13=$O$1,P6,IF('Project Information'!$C$13=$S$1,T6,IF('Project Information'!$C$13=$W$1,X6,IF('Project Information'!$C$13=$AA$1,AB6,IF('Project Information'!$C$13=$AE$1,AF6,IF('Project Information'!$C$13=$AI$1,AJ6,IF('Project Information'!$C$13=$AM$1,AN6,0))))))))</f>
        <v>0</v>
      </c>
      <c r="D6" s="1191"/>
      <c r="E6" s="1182"/>
      <c r="F6" s="1185"/>
      <c r="G6" t="s" s="1189">
        <f>B6</f>
        <v>1105</v>
      </c>
      <c r="H6" s="1197"/>
      <c r="I6" s="835"/>
      <c r="J6" s="1185"/>
      <c r="K6" t="s" s="1189">
        <f>B6</f>
        <v>1105</v>
      </c>
      <c r="L6" t="b" s="1198">
        <f>IF(L5&lt;60001,0,IF(AND(L4&gt;=60001,L5&lt;250001),SUM(L4*0.01),IF(AND(L5&gt;=250001,L5&lt;500001),SUM(L5*0.03),IF(AND(L5&gt;=500001),SUM(L5*0.04)))))</f>
        <v>0</v>
      </c>
      <c r="M6" s="835"/>
      <c r="N6" s="1185"/>
      <c r="O6" t="s" s="1189">
        <f>B6</f>
        <v>1105</v>
      </c>
      <c r="P6" t="b" s="1198">
        <f>IF(P5&lt;60001,0,IF(AND(P4&gt;=60001,P5&lt;250001),SUM(P4*0.01),IF(AND(P5&gt;=250001,P5&lt;500001),SUM(P5*0.03),IF(AND(P5&gt;=500001),SUM(P5*0.04)))))</f>
        <v>0</v>
      </c>
      <c r="Q6" s="835"/>
      <c r="R6" s="1185"/>
      <c r="S6" s="1185"/>
      <c r="T6" s="1199"/>
      <c r="U6" s="208"/>
      <c r="V6" s="1185"/>
      <c r="W6" t="s" s="1189">
        <f>B6</f>
        <v>1106</v>
      </c>
      <c r="X6" t="b" s="1198">
        <f>IF(X5&lt;60001,0,IF(AND(X4&gt;=60001,X5&lt;250001),SUM(X4*0.01),IF(AND(X5&gt;=250001,X5&lt;500001),SUM(X5*0.03),IF(AND(X5&gt;=500001),SUM(X5*0.04)))))</f>
        <v>0</v>
      </c>
      <c r="Y6" s="835"/>
      <c r="Z6" s="1185"/>
      <c r="AA6" s="1193"/>
      <c r="AB6" s="1200"/>
      <c r="AC6" s="835"/>
      <c r="AD6" s="1185"/>
      <c r="AE6" s="1185"/>
      <c r="AF6" s="1199"/>
      <c r="AG6" s="208"/>
      <c r="AH6" s="1185"/>
      <c r="AI6" s="1194"/>
      <c r="AJ6" s="1199"/>
      <c r="AK6" s="1185"/>
      <c r="AL6" s="1185"/>
      <c r="AM6" s="1194"/>
      <c r="AN6" s="1199"/>
      <c r="AO6" s="208"/>
      <c r="AP6" s="1185"/>
      <c r="AQ6" s="1185"/>
      <c r="AR6" s="1185"/>
      <c r="AS6" s="1185"/>
      <c r="AT6" s="1185"/>
      <c r="AU6" s="1185"/>
      <c r="AV6" s="1185"/>
      <c r="AW6" s="208"/>
      <c r="AX6" s="208"/>
      <c r="AY6" s="208"/>
      <c r="AZ6" s="208"/>
      <c r="BA6" s="208"/>
      <c r="BB6" s="208"/>
      <c r="BC6" s="208"/>
      <c r="BD6" s="1184"/>
      <c r="BE6" s="1184"/>
      <c r="BF6" s="1184"/>
      <c r="BG6" s="1184"/>
      <c r="BH6" s="1184"/>
      <c r="BI6" s="1184"/>
      <c r="BJ6" s="1184"/>
      <c r="BK6" s="1184"/>
      <c r="BL6" s="1184"/>
      <c r="BM6" s="1184"/>
      <c r="BN6" s="1184"/>
      <c r="BO6" s="1184"/>
      <c r="BP6" s="1184"/>
      <c r="BQ6" s="1184"/>
      <c r="BR6" s="1184"/>
      <c r="BS6" s="1184"/>
      <c r="BT6" s="1184"/>
      <c r="BU6" s="1184"/>
      <c r="BV6" s="1184"/>
      <c r="BW6" s="208"/>
      <c r="BX6" s="208"/>
      <c r="BY6" s="208"/>
      <c r="BZ6" s="208"/>
      <c r="CA6" s="208"/>
      <c r="CB6" s="208"/>
      <c r="CC6" s="208"/>
      <c r="CD6" s="211"/>
    </row>
    <row r="7" ht="18" customHeight="1">
      <c r="A7" s="1188"/>
      <c r="B7" t="s" s="1189">
        <v>1107</v>
      </c>
      <c r="C7" s="1190">
        <f>IF('Project Information'!$C$13=$K$1,L7,IF('Project Information'!$C$13=$O$1,P7,IF('Project Information'!$C$13=$S$1,T7,IF('Project Information'!$C$13=$W$1,X7,IF('Project Information'!$C$13=$AA$1,AB7,IF('Project Information'!$C$13=$AE$1,AF7,IF('Project Information'!$C$13=$AI$1,AJ7,IF('Project Information'!$C$13=$AM$1,AN7,0))))))))</f>
        <v>1012770</v>
      </c>
      <c r="D7" s="1191"/>
      <c r="E7" s="1182"/>
      <c r="F7" s="1185"/>
      <c r="G7" t="s" s="1189">
        <f>B7</f>
        <v>1108</v>
      </c>
      <c r="H7" s="1190">
        <f t="shared" si="28" ref="H7:X7">'Dev Cash Flow'!$F$22</f>
        <v>1012770</v>
      </c>
      <c r="I7" s="835"/>
      <c r="J7" s="1185"/>
      <c r="K7" t="s" s="1189">
        <f>B7</f>
        <v>1108</v>
      </c>
      <c r="L7" s="1190">
        <f t="shared" si="28"/>
        <v>1012770</v>
      </c>
      <c r="M7" s="835"/>
      <c r="N7" s="1185"/>
      <c r="O7" t="s" s="1189">
        <f>B7</f>
        <v>1108</v>
      </c>
      <c r="P7" s="1190">
        <f t="shared" si="28"/>
        <v>1012770</v>
      </c>
      <c r="Q7" s="835"/>
      <c r="R7" s="1185"/>
      <c r="S7" s="1185"/>
      <c r="T7" s="1192"/>
      <c r="U7" s="208"/>
      <c r="V7" s="1185"/>
      <c r="W7" t="s" s="1189">
        <f>B7</f>
        <v>1108</v>
      </c>
      <c r="X7" s="1190">
        <f t="shared" si="28"/>
        <v>1012770</v>
      </c>
      <c r="Y7" s="835"/>
      <c r="Z7" s="1185"/>
      <c r="AA7" s="1193"/>
      <c r="AB7" s="1190"/>
      <c r="AC7" s="835"/>
      <c r="AD7" s="1185"/>
      <c r="AE7" s="1185"/>
      <c r="AF7" s="1192"/>
      <c r="AG7" s="208"/>
      <c r="AH7" s="1185"/>
      <c r="AI7" s="1194"/>
      <c r="AJ7" s="1192"/>
      <c r="AK7" s="1185"/>
      <c r="AL7" s="1185"/>
      <c r="AM7" s="1194"/>
      <c r="AN7" s="1192"/>
      <c r="AO7" s="208"/>
      <c r="AP7" s="1185"/>
      <c r="AQ7" s="1185"/>
      <c r="AR7" s="1185"/>
      <c r="AS7" s="1185"/>
      <c r="AT7" s="1185"/>
      <c r="AU7" s="1185"/>
      <c r="AV7" s="1185"/>
      <c r="AW7" s="208"/>
      <c r="AX7" s="208"/>
      <c r="AY7" s="208"/>
      <c r="AZ7" s="208"/>
      <c r="BA7" s="208"/>
      <c r="BB7" s="208"/>
      <c r="BC7" s="208"/>
      <c r="BD7" s="1184"/>
      <c r="BE7" s="1184"/>
      <c r="BF7" s="1184"/>
      <c r="BG7" s="1184"/>
      <c r="BH7" s="1184"/>
      <c r="BI7" s="1184"/>
      <c r="BJ7" s="1184"/>
      <c r="BK7" s="1184"/>
      <c r="BL7" s="1184"/>
      <c r="BM7" s="1184"/>
      <c r="BN7" s="1184"/>
      <c r="BO7" s="1184"/>
      <c r="BP7" s="1184"/>
      <c r="BQ7" s="1184"/>
      <c r="BR7" s="1184"/>
      <c r="BS7" s="1184"/>
      <c r="BT7" s="1184"/>
      <c r="BU7" s="1184"/>
      <c r="BV7" s="1184"/>
      <c r="BW7" s="208"/>
      <c r="BX7" s="208"/>
      <c r="BY7" s="208"/>
      <c r="BZ7" s="208"/>
      <c r="CA7" s="208"/>
      <c r="CB7" s="208"/>
      <c r="CC7" s="208"/>
      <c r="CD7" s="211"/>
    </row>
    <row r="8" ht="18" customHeight="1">
      <c r="A8" s="1188"/>
      <c r="B8" t="s" s="1189">
        <v>690</v>
      </c>
      <c r="C8" s="1190">
        <f>IF('Project Information'!$C$13=$K$1,L8,IF('Project Information'!$C$13=$O$1,P8,IF('Project Information'!$C$13=$S$1,T8,IF('Project Information'!$C$13=$W$1,X8,IF('Project Information'!$C$13=$AA$1,AB8,IF('Project Information'!$C$13=$AE$1,AF8,IF('Project Information'!$C$13=$AI$1,AJ8,IF('Project Information'!$C$13=$AM$1,AN8,0))))))))</f>
        <v>0</v>
      </c>
      <c r="D8" s="1191"/>
      <c r="E8" s="1182"/>
      <c r="F8" s="1185"/>
      <c r="G8" t="s" s="1189">
        <f>B8</f>
        <v>690</v>
      </c>
      <c r="H8" s="1190"/>
      <c r="I8" s="835"/>
      <c r="J8" s="1185"/>
      <c r="K8" t="s" s="1189">
        <f>B8</f>
        <v>690</v>
      </c>
      <c r="L8" s="1190"/>
      <c r="M8" s="835"/>
      <c r="N8" s="1185"/>
      <c r="O8" t="s" s="1189">
        <f>B8</f>
        <v>690</v>
      </c>
      <c r="P8" s="1190"/>
      <c r="Q8" s="835"/>
      <c r="R8" s="1185"/>
      <c r="S8" s="1185"/>
      <c r="T8" s="1192"/>
      <c r="U8" s="208"/>
      <c r="V8" s="1185"/>
      <c r="W8" t="s" s="1189">
        <f>B8</f>
        <v>690</v>
      </c>
      <c r="X8" s="1190"/>
      <c r="Y8" s="835"/>
      <c r="Z8" s="1185"/>
      <c r="AA8" s="1193"/>
      <c r="AB8" s="1190"/>
      <c r="AC8" s="835"/>
      <c r="AD8" s="1185"/>
      <c r="AE8" s="1185"/>
      <c r="AF8" s="1192"/>
      <c r="AG8" s="208"/>
      <c r="AH8" s="1185"/>
      <c r="AI8" s="1194"/>
      <c r="AJ8" s="1192"/>
      <c r="AK8" s="1185"/>
      <c r="AL8" s="1185"/>
      <c r="AM8" s="1194"/>
      <c r="AN8" s="1192"/>
      <c r="AO8" s="208"/>
      <c r="AP8" s="1185"/>
      <c r="AQ8" s="1185"/>
      <c r="AR8" s="1185"/>
      <c r="AS8" s="1185"/>
      <c r="AT8" s="1185"/>
      <c r="AU8" s="1185"/>
      <c r="AV8" s="1185"/>
      <c r="AW8" s="208"/>
      <c r="AX8" s="208"/>
      <c r="AY8" s="208"/>
      <c r="AZ8" s="208"/>
      <c r="BA8" s="208"/>
      <c r="BB8" s="208"/>
      <c r="BC8" s="208"/>
      <c r="BD8" s="1184"/>
      <c r="BE8" s="1184"/>
      <c r="BF8" s="1184"/>
      <c r="BG8" s="1184"/>
      <c r="BH8" s="1184"/>
      <c r="BI8" s="1184"/>
      <c r="BJ8" s="1184"/>
      <c r="BK8" s="1184"/>
      <c r="BL8" s="1184"/>
      <c r="BM8" s="1184"/>
      <c r="BN8" s="1184"/>
      <c r="BO8" s="1184"/>
      <c r="BP8" s="1184"/>
      <c r="BQ8" s="1184"/>
      <c r="BR8" s="1184"/>
      <c r="BS8" s="1184"/>
      <c r="BT8" s="1184"/>
      <c r="BU8" s="1184"/>
      <c r="BV8" s="1184"/>
      <c r="BW8" s="208"/>
      <c r="BX8" s="208"/>
      <c r="BY8" s="208"/>
      <c r="BZ8" s="208"/>
      <c r="CA8" s="208"/>
      <c r="CB8" s="208"/>
      <c r="CC8" s="208"/>
      <c r="CD8" s="211"/>
    </row>
    <row r="9" ht="18" customHeight="1">
      <c r="A9" s="1188"/>
      <c r="B9" t="s" s="1189">
        <v>597</v>
      </c>
      <c r="C9" s="1190">
        <f>IF('Project Information'!$C$13=$K$1,L9,IF('Project Information'!$C$13=$O$1,P9,IF('Project Information'!$C$13=$S$1,T9,IF('Project Information'!$C$13=$W$1,X9,IF('Project Information'!$C$13=$AA$1,AB9,IF('Project Information'!$C$13=$AE$1,AF9,IF('Project Information'!$C$13=$AI$1,AJ9,IF('Project Information'!$C$13=$AM$1,AN9,0))))))))</f>
        <v>0</v>
      </c>
      <c r="D9" s="1191"/>
      <c r="E9" s="1182"/>
      <c r="F9" s="1185"/>
      <c r="G9" t="s" s="1189">
        <f>B9</f>
        <v>597</v>
      </c>
      <c r="H9" s="1190"/>
      <c r="I9" s="835"/>
      <c r="J9" s="1185"/>
      <c r="K9" t="s" s="1189">
        <f>B9</f>
        <v>597</v>
      </c>
      <c r="L9" s="1190"/>
      <c r="M9" s="835"/>
      <c r="N9" s="1185"/>
      <c r="O9" t="s" s="1189">
        <f>B9</f>
        <v>1109</v>
      </c>
      <c r="P9" s="1190"/>
      <c r="Q9" s="835"/>
      <c r="R9" s="1185"/>
      <c r="S9" s="1185"/>
      <c r="T9" s="1192"/>
      <c r="U9" s="208"/>
      <c r="V9" s="1185"/>
      <c r="W9" t="s" s="1189">
        <f>B9</f>
        <v>597</v>
      </c>
      <c r="X9" s="1190"/>
      <c r="Y9" s="835"/>
      <c r="Z9" s="1185"/>
      <c r="AA9" s="1193"/>
      <c r="AB9" s="1190"/>
      <c r="AC9" s="835"/>
      <c r="AD9" s="1185"/>
      <c r="AE9" s="1185"/>
      <c r="AF9" s="1192"/>
      <c r="AG9" s="208"/>
      <c r="AH9" s="1185"/>
      <c r="AI9" s="1194"/>
      <c r="AJ9" s="1192"/>
      <c r="AK9" s="1185"/>
      <c r="AL9" s="1185"/>
      <c r="AM9" s="1194"/>
      <c r="AN9" s="1192"/>
      <c r="AO9" s="208"/>
      <c r="AP9" s="1185"/>
      <c r="AQ9" s="1185"/>
      <c r="AR9" s="1185"/>
      <c r="AS9" s="1185"/>
      <c r="AT9" s="1185"/>
      <c r="AU9" s="1185"/>
      <c r="AV9" s="1185"/>
      <c r="AW9" s="208"/>
      <c r="AX9" s="208"/>
      <c r="AY9" s="208"/>
      <c r="AZ9" s="208"/>
      <c r="BA9" s="208"/>
      <c r="BB9" s="208"/>
      <c r="BC9" s="208"/>
      <c r="BD9" s="1184"/>
      <c r="BE9" s="1184"/>
      <c r="BF9" s="1184"/>
      <c r="BG9" s="1184"/>
      <c r="BH9" s="1184"/>
      <c r="BI9" s="1184"/>
      <c r="BJ9" s="1184"/>
      <c r="BK9" s="1184"/>
      <c r="BL9" s="1184"/>
      <c r="BM9" s="1184"/>
      <c r="BN9" s="1184"/>
      <c r="BO9" s="1184"/>
      <c r="BP9" s="1184"/>
      <c r="BQ9" s="1184"/>
      <c r="BR9" s="1184"/>
      <c r="BS9" s="1184"/>
      <c r="BT9" s="1184"/>
      <c r="BU9" s="1184"/>
      <c r="BV9" s="1184"/>
      <c r="BW9" s="208"/>
      <c r="BX9" s="208"/>
      <c r="BY9" s="208"/>
      <c r="BZ9" s="208"/>
      <c r="CA9" s="208"/>
      <c r="CB9" s="208"/>
      <c r="CC9" s="208"/>
      <c r="CD9" s="211"/>
    </row>
    <row r="10" ht="18" customHeight="1">
      <c r="A10" s="1188"/>
      <c r="B10" t="s" s="1189">
        <v>598</v>
      </c>
      <c r="C10" s="1190">
        <f>IF('Project Information'!$C$13=$K$1,L10,IF('Project Information'!$C$13=$O$1,P10,IF('Project Information'!$C$13=$S$1,T10,IF('Project Information'!$C$13=$W$1,X10,IF('Project Information'!$C$13=$AA$1,AB10,IF('Project Information'!$C$13=$AE$1,AF10,IF('Project Information'!$C$13=$AI$1,AJ10,IF('Project Information'!$C$13=$AM$1,AN10,0))))))))</f>
        <v>0</v>
      </c>
      <c r="D10" s="1191"/>
      <c r="E10" s="1182"/>
      <c r="F10" s="1185"/>
      <c r="G10" t="s" s="1189">
        <f>B10</f>
        <v>598</v>
      </c>
      <c r="H10" s="1190"/>
      <c r="I10" s="835"/>
      <c r="J10" s="1185"/>
      <c r="K10" t="s" s="1189">
        <f>B10</f>
        <v>598</v>
      </c>
      <c r="L10" s="1190"/>
      <c r="M10" s="835"/>
      <c r="N10" s="1185"/>
      <c r="O10" t="s" s="1189">
        <f>B10</f>
        <v>598</v>
      </c>
      <c r="P10" s="1190"/>
      <c r="Q10" s="835"/>
      <c r="R10" s="1185"/>
      <c r="S10" s="1185"/>
      <c r="T10" s="1192"/>
      <c r="U10" s="208"/>
      <c r="V10" s="1185"/>
      <c r="W10" t="s" s="1189">
        <f>B10</f>
        <v>598</v>
      </c>
      <c r="X10" s="1190"/>
      <c r="Y10" s="835"/>
      <c r="Z10" s="1185"/>
      <c r="AA10" s="1193"/>
      <c r="AB10" s="1190"/>
      <c r="AC10" s="835"/>
      <c r="AD10" s="1185"/>
      <c r="AE10" s="1185"/>
      <c r="AF10" s="1192"/>
      <c r="AG10" s="208"/>
      <c r="AH10" s="1185"/>
      <c r="AI10" s="1194"/>
      <c r="AJ10" s="1192"/>
      <c r="AK10" s="1185"/>
      <c r="AL10" s="1185"/>
      <c r="AM10" s="1194"/>
      <c r="AN10" s="1192"/>
      <c r="AO10" s="208"/>
      <c r="AP10" s="1185"/>
      <c r="AQ10" s="1185"/>
      <c r="AR10" s="1185"/>
      <c r="AS10" s="1185"/>
      <c r="AT10" s="1185"/>
      <c r="AU10" s="1185"/>
      <c r="AV10" s="1185"/>
      <c r="AW10" s="208"/>
      <c r="AX10" s="208"/>
      <c r="AY10" s="208"/>
      <c r="AZ10" s="208"/>
      <c r="BA10" s="208"/>
      <c r="BB10" s="208"/>
      <c r="BC10" s="208"/>
      <c r="BD10" s="1184"/>
      <c r="BE10" s="1184"/>
      <c r="BF10" s="1184"/>
      <c r="BG10" s="1184"/>
      <c r="BH10" s="1184"/>
      <c r="BI10" s="1184"/>
      <c r="BJ10" s="1184"/>
      <c r="BK10" s="1184"/>
      <c r="BL10" s="1184"/>
      <c r="BM10" s="1184"/>
      <c r="BN10" s="1184"/>
      <c r="BO10" s="1184"/>
      <c r="BP10" s="1184"/>
      <c r="BQ10" s="1184"/>
      <c r="BR10" s="1184"/>
      <c r="BS10" s="1184"/>
      <c r="BT10" s="1184"/>
      <c r="BU10" s="1184"/>
      <c r="BV10" s="1184"/>
      <c r="BW10" s="208"/>
      <c r="BX10" s="208"/>
      <c r="BY10" s="208"/>
      <c r="BZ10" s="208"/>
      <c r="CA10" s="208"/>
      <c r="CB10" s="208"/>
      <c r="CC10" s="208"/>
      <c r="CD10" s="211"/>
    </row>
    <row r="11" ht="18" customHeight="1">
      <c r="A11" s="1188"/>
      <c r="B11" t="s" s="1189">
        <v>716</v>
      </c>
      <c r="C11" s="1190">
        <f>IF('Project Information'!$C$13=$K$1,L11,IF('Project Information'!$C$13=$O$1,P11,IF('Project Information'!$C$13=$S$1,T11,IF('Project Information'!$C$13=$W$1,X11,IF('Project Information'!$C$13=$AA$1,AB11,IF('Project Information'!$C$13=$AE$1,AF11,IF('Project Information'!$C$13=$AI$1,AJ11,IF('Project Information'!$C$13=$AM$1,AN11,0))))))))</f>
        <v>30319.25</v>
      </c>
      <c r="D11" s="1191"/>
      <c r="E11" s="1182"/>
      <c r="F11" s="1185"/>
      <c r="G11" t="s" s="1189">
        <f>B11</f>
        <v>716</v>
      </c>
      <c r="H11" s="1190"/>
      <c r="I11" s="835"/>
      <c r="J11" s="1185"/>
      <c r="K11" t="s" s="1189">
        <f>B11</f>
        <v>716</v>
      </c>
      <c r="L11" s="1190">
        <f>SUM(L4:L7)*0.025</f>
        <v>30319.25</v>
      </c>
      <c r="M11" s="835"/>
      <c r="N11" s="1185"/>
      <c r="O11" t="s" s="1189">
        <f>B11</f>
        <v>1110</v>
      </c>
      <c r="P11" s="1190">
        <f>SUM(P4:P7)*0.025</f>
        <v>30319.25</v>
      </c>
      <c r="Q11" s="835"/>
      <c r="R11" s="1185"/>
      <c r="S11" s="1185"/>
      <c r="T11" s="1192"/>
      <c r="U11" s="208"/>
      <c r="V11" s="1185"/>
      <c r="W11" t="s" s="1189">
        <f>B11</f>
        <v>716</v>
      </c>
      <c r="X11" s="1190">
        <f>SUM(X4:X7)*0.025</f>
        <v>30319.25</v>
      </c>
      <c r="Y11" s="835"/>
      <c r="Z11" s="1185"/>
      <c r="AA11" s="1193"/>
      <c r="AB11" s="1190"/>
      <c r="AC11" s="835"/>
      <c r="AD11" s="1185"/>
      <c r="AE11" s="1185"/>
      <c r="AF11" s="1192"/>
      <c r="AG11" s="208"/>
      <c r="AH11" s="1185"/>
      <c r="AI11" s="1194"/>
      <c r="AJ11" s="1192"/>
      <c r="AK11" s="1185"/>
      <c r="AL11" s="1185"/>
      <c r="AM11" s="1194"/>
      <c r="AN11" s="1192"/>
      <c r="AO11" s="208"/>
      <c r="AP11" s="1185"/>
      <c r="AQ11" s="1185"/>
      <c r="AR11" s="1185"/>
      <c r="AS11" s="1185"/>
      <c r="AT11" s="1185"/>
      <c r="AU11" s="1185"/>
      <c r="AV11" s="1185"/>
      <c r="AW11" s="208"/>
      <c r="AX11" s="208"/>
      <c r="AY11" s="208"/>
      <c r="AZ11" s="208"/>
      <c r="BA11" s="208"/>
      <c r="BB11" s="208"/>
      <c r="BC11" s="208"/>
      <c r="BD11" s="1184"/>
      <c r="BE11" s="1184"/>
      <c r="BF11" s="1184"/>
      <c r="BG11" s="1184"/>
      <c r="BH11" s="1184"/>
      <c r="BI11" s="1184"/>
      <c r="BJ11" s="1184"/>
      <c r="BK11" s="1184"/>
      <c r="BL11" s="1184"/>
      <c r="BM11" s="1184"/>
      <c r="BN11" s="1184"/>
      <c r="BO11" s="1184"/>
      <c r="BP11" s="1184"/>
      <c r="BQ11" s="1184"/>
      <c r="BR11" s="1184"/>
      <c r="BS11" s="1184"/>
      <c r="BT11" s="1184"/>
      <c r="BU11" s="1184"/>
      <c r="BV11" s="1184"/>
      <c r="BW11" s="208"/>
      <c r="BX11" s="208"/>
      <c r="BY11" s="208"/>
      <c r="BZ11" s="208"/>
      <c r="CA11" s="208"/>
      <c r="CB11" s="208"/>
      <c r="CC11" s="208"/>
      <c r="CD11" s="211"/>
    </row>
    <row r="12" ht="18" customHeight="1">
      <c r="A12" s="1188"/>
      <c r="B12" t="s" s="1189">
        <v>600</v>
      </c>
      <c r="C12" s="1190">
        <f>IF('Project Information'!$C$13=$K$1,L12,IF('Project Information'!$C$13=$O$1,P12,IF('Project Information'!$C$13=$S$1,T12,IF('Project Information'!$C$13=$W$1,X12,IF('Project Information'!$C$13=$AA$1,AB12,IF('Project Information'!$C$13=$AE$1,AF12,IF('Project Information'!$C$13=$AI$1,AJ12,IF('Project Information'!$C$13=$AM$1,AN12,0))))))))</f>
        <v>0</v>
      </c>
      <c r="D12" s="1191"/>
      <c r="E12" s="1182"/>
      <c r="F12" s="1185"/>
      <c r="G12" t="s" s="1189">
        <f>B12</f>
        <v>600</v>
      </c>
      <c r="H12" s="1190"/>
      <c r="I12" s="835"/>
      <c r="J12" s="1185"/>
      <c r="K12" t="s" s="1189">
        <f>B12</f>
        <v>1111</v>
      </c>
      <c r="L12" s="1190"/>
      <c r="M12" s="835"/>
      <c r="N12" s="1185"/>
      <c r="O12" t="s" s="1189">
        <f>B12</f>
        <v>600</v>
      </c>
      <c r="P12" s="1190"/>
      <c r="Q12" s="835"/>
      <c r="R12" s="1185"/>
      <c r="S12" s="1185"/>
      <c r="T12" s="1192"/>
      <c r="U12" s="208"/>
      <c r="V12" s="1185"/>
      <c r="W12" t="s" s="1189">
        <f>B12</f>
        <v>600</v>
      </c>
      <c r="X12" s="1190"/>
      <c r="Y12" s="835"/>
      <c r="Z12" s="1185"/>
      <c r="AA12" s="1193"/>
      <c r="AB12" s="1190"/>
      <c r="AC12" s="835"/>
      <c r="AD12" s="1185"/>
      <c r="AE12" s="1185"/>
      <c r="AF12" s="1192"/>
      <c r="AG12" s="208"/>
      <c r="AH12" s="1185"/>
      <c r="AI12" s="1194"/>
      <c r="AJ12" s="1192"/>
      <c r="AK12" s="1185"/>
      <c r="AL12" s="1185"/>
      <c r="AM12" s="1194"/>
      <c r="AN12" s="1192"/>
      <c r="AO12" s="208"/>
      <c r="AP12" s="1185"/>
      <c r="AQ12" s="1185"/>
      <c r="AR12" s="1185"/>
      <c r="AS12" s="1185"/>
      <c r="AT12" s="1185"/>
      <c r="AU12" s="1185"/>
      <c r="AV12" s="1185"/>
      <c r="AW12" s="208"/>
      <c r="AX12" s="208"/>
      <c r="AY12" s="208"/>
      <c r="AZ12" s="208"/>
      <c r="BA12" s="208"/>
      <c r="BB12" s="208"/>
      <c r="BC12" s="208"/>
      <c r="BD12" s="1184"/>
      <c r="BE12" s="1184"/>
      <c r="BF12" s="1184"/>
      <c r="BG12" s="1184"/>
      <c r="BH12" s="1184"/>
      <c r="BI12" s="1184"/>
      <c r="BJ12" s="1184"/>
      <c r="BK12" s="1184"/>
      <c r="BL12" s="1184"/>
      <c r="BM12" s="1184"/>
      <c r="BN12" s="1184"/>
      <c r="BO12" s="1184"/>
      <c r="BP12" s="1184"/>
      <c r="BQ12" s="1184"/>
      <c r="BR12" s="1184"/>
      <c r="BS12" s="1184"/>
      <c r="BT12" s="1184"/>
      <c r="BU12" s="1184"/>
      <c r="BV12" s="1184"/>
      <c r="BW12" s="208"/>
      <c r="BX12" s="208"/>
      <c r="BY12" s="208"/>
      <c r="BZ12" s="208"/>
      <c r="CA12" s="208"/>
      <c r="CB12" s="208"/>
      <c r="CC12" s="208"/>
      <c r="CD12" s="211"/>
    </row>
    <row r="13" ht="18" customHeight="1">
      <c r="A13" s="1188"/>
      <c r="B13" t="s" s="1201">
        <v>192</v>
      </c>
      <c r="C13" s="1202">
        <f>SUM(C4:C12)</f>
        <v>1243089.25</v>
      </c>
      <c r="D13" s="1191"/>
      <c r="E13" s="1182"/>
      <c r="F13" s="208"/>
      <c r="G13" t="s" s="1201">
        <v>192</v>
      </c>
      <c r="H13" s="1202">
        <f>SUM(H4:H12)</f>
        <v>1212770</v>
      </c>
      <c r="I13" s="106"/>
      <c r="J13" s="1185"/>
      <c r="K13" t="s" s="1201">
        <v>192</v>
      </c>
      <c r="L13" s="1202">
        <f>SUM(L4:L12)</f>
        <v>1243089.25</v>
      </c>
      <c r="M13" s="106"/>
      <c r="N13" s="1185"/>
      <c r="O13" t="s" s="1201">
        <v>192</v>
      </c>
      <c r="P13" s="1202">
        <f>SUM(P4:P12)</f>
        <v>1243089.25</v>
      </c>
      <c r="Q13" s="106"/>
      <c r="R13" s="1185"/>
      <c r="S13" s="1203"/>
      <c r="T13" s="1204"/>
      <c r="U13" s="86"/>
      <c r="V13" s="1185"/>
      <c r="W13" t="s" s="1201">
        <v>192</v>
      </c>
      <c r="X13" s="1202">
        <f>SUM(X4:X12)</f>
        <v>1243089.25</v>
      </c>
      <c r="Y13" s="106"/>
      <c r="Z13" s="1185"/>
      <c r="AA13" s="1205"/>
      <c r="AB13" s="1202"/>
      <c r="AC13" s="106"/>
      <c r="AD13" s="1185"/>
      <c r="AE13" s="1203"/>
      <c r="AF13" s="1204"/>
      <c r="AG13" s="86"/>
      <c r="AH13" s="1185"/>
      <c r="AI13" s="1203"/>
      <c r="AJ13" s="1204"/>
      <c r="AK13" s="101"/>
      <c r="AL13" s="1185"/>
      <c r="AM13" s="1203"/>
      <c r="AN13" s="1204"/>
      <c r="AO13" s="101"/>
      <c r="AP13" s="1185"/>
      <c r="AQ13" s="1185"/>
      <c r="AR13" s="1185"/>
      <c r="AS13" s="1185"/>
      <c r="AT13" s="1185"/>
      <c r="AU13" s="1185"/>
      <c r="AV13" s="1185"/>
      <c r="AW13" s="208"/>
      <c r="AX13" s="208"/>
      <c r="AY13" s="208"/>
      <c r="AZ13" s="208"/>
      <c r="BA13" s="208"/>
      <c r="BB13" s="208"/>
      <c r="BC13" s="208"/>
      <c r="BD13" s="1184"/>
      <c r="BE13" s="1184"/>
      <c r="BF13" s="1184"/>
      <c r="BG13" s="1184"/>
      <c r="BH13" s="1184"/>
      <c r="BI13" s="1184"/>
      <c r="BJ13" s="1184"/>
      <c r="BK13" s="1184"/>
      <c r="BL13" s="1184"/>
      <c r="BM13" s="1184"/>
      <c r="BN13" s="1184"/>
      <c r="BO13" s="1184"/>
      <c r="BP13" s="1184"/>
      <c r="BQ13" s="1184"/>
      <c r="BR13" s="1184"/>
      <c r="BS13" s="1184"/>
      <c r="BT13" s="1184"/>
      <c r="BU13" s="1184"/>
      <c r="BV13" s="1184"/>
      <c r="BW13" s="208"/>
      <c r="BX13" s="208"/>
      <c r="BY13" s="208"/>
      <c r="BZ13" s="208"/>
      <c r="CA13" s="208"/>
      <c r="CB13" s="208"/>
      <c r="CC13" s="208"/>
      <c r="CD13" s="211"/>
    </row>
    <row r="14" ht="18" customHeight="1">
      <c r="A14" s="1206"/>
      <c r="B14" s="1207"/>
      <c r="C14" s="1208"/>
      <c r="D14" s="1209"/>
      <c r="E14" s="1182"/>
      <c r="F14" s="208"/>
      <c r="G14" s="1194"/>
      <c r="H14" s="873"/>
      <c r="I14" s="208"/>
      <c r="J14" s="1185"/>
      <c r="K14" s="1194"/>
      <c r="L14" s="873"/>
      <c r="M14" s="208"/>
      <c r="N14" s="1185"/>
      <c r="O14" s="1194"/>
      <c r="P14" s="873"/>
      <c r="Q14" s="208"/>
      <c r="R14" s="1185"/>
      <c r="S14" s="1194"/>
      <c r="T14" s="1185"/>
      <c r="U14" s="208"/>
      <c r="V14" s="1185"/>
      <c r="W14" s="1194"/>
      <c r="X14" s="873"/>
      <c r="Y14" s="208"/>
      <c r="Z14" s="1185"/>
      <c r="AA14" s="1194"/>
      <c r="AB14" s="873"/>
      <c r="AC14" s="208"/>
      <c r="AD14" s="1185"/>
      <c r="AE14" s="1194"/>
      <c r="AF14" s="208"/>
      <c r="AG14" s="208"/>
      <c r="AH14" s="1185"/>
      <c r="AI14" s="1194"/>
      <c r="AJ14" s="1185"/>
      <c r="AK14" s="1185"/>
      <c r="AL14" s="1185"/>
      <c r="AM14" s="1194"/>
      <c r="AN14" s="1185"/>
      <c r="AO14" s="208"/>
      <c r="AP14" s="1185"/>
      <c r="AQ14" s="1194"/>
      <c r="AR14" s="208"/>
      <c r="AS14" s="208"/>
      <c r="AT14" s="208"/>
      <c r="AU14" s="208"/>
      <c r="AV14" s="208"/>
      <c r="AW14" s="208"/>
      <c r="AX14" s="208"/>
      <c r="AY14" s="208"/>
      <c r="AZ14" s="208"/>
      <c r="BA14" s="208"/>
      <c r="BB14" s="208"/>
      <c r="BC14" s="208"/>
      <c r="BD14" s="208"/>
      <c r="BE14" s="208"/>
      <c r="BF14" s="208"/>
      <c r="BG14" s="1184"/>
      <c r="BH14" s="1184"/>
      <c r="BI14" s="1184"/>
      <c r="BJ14" s="1184"/>
      <c r="BK14" s="1184"/>
      <c r="BL14" s="1184"/>
      <c r="BM14" s="1184"/>
      <c r="BN14" s="1184"/>
      <c r="BO14" s="1184"/>
      <c r="BP14" s="1184"/>
      <c r="BQ14" s="1184"/>
      <c r="BR14" s="1184"/>
      <c r="BS14" s="1184"/>
      <c r="BT14" s="1184"/>
      <c r="BU14" s="1184"/>
      <c r="BV14" s="1184"/>
      <c r="BW14" s="1184"/>
      <c r="BX14" s="1184"/>
      <c r="BY14" s="1184"/>
      <c r="BZ14" s="208"/>
      <c r="CA14" s="208"/>
      <c r="CB14" s="208"/>
      <c r="CC14" s="208"/>
      <c r="CD14" s="211"/>
    </row>
    <row r="15" ht="18" customHeight="1">
      <c r="A15" s="1210"/>
      <c r="B15" s="1211"/>
      <c r="C15" s="1211"/>
      <c r="D15" s="1211"/>
      <c r="E15" s="210"/>
      <c r="F15" s="210"/>
      <c r="G15" s="1212"/>
      <c r="H15" s="210"/>
      <c r="I15" s="210"/>
      <c r="J15" s="210"/>
      <c r="K15" s="210"/>
      <c r="L15" s="210"/>
      <c r="M15" s="208"/>
      <c r="N15" s="208"/>
      <c r="O15" s="208"/>
      <c r="P15" s="208"/>
      <c r="Q15" s="208"/>
      <c r="R15" s="208"/>
      <c r="S15" s="1185"/>
      <c r="T15" s="1185"/>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1184"/>
      <c r="BH15" s="1184"/>
      <c r="BI15" s="1184"/>
      <c r="BJ15" s="1184"/>
      <c r="BK15" s="1184"/>
      <c r="BL15" s="1184"/>
      <c r="BM15" s="1184"/>
      <c r="BN15" s="1184"/>
      <c r="BO15" s="1184"/>
      <c r="BP15" s="1184"/>
      <c r="BQ15" s="1184"/>
      <c r="BR15" s="1184"/>
      <c r="BS15" s="1184"/>
      <c r="BT15" s="1184"/>
      <c r="BU15" s="1184"/>
      <c r="BV15" s="1184"/>
      <c r="BW15" s="1184"/>
      <c r="BX15" s="1184"/>
      <c r="BY15" s="1184"/>
      <c r="BZ15" s="208"/>
      <c r="CA15" s="208"/>
      <c r="CB15" s="208"/>
      <c r="CC15" s="208"/>
      <c r="CD15" s="211"/>
    </row>
    <row r="16" ht="18" customHeight="1">
      <c r="A16" s="1213"/>
      <c r="B16" s="1214"/>
      <c r="C16" s="1214"/>
      <c r="D16" s="1214"/>
      <c r="E16" s="1214"/>
      <c r="F16" s="1214"/>
      <c r="G16" s="1214"/>
      <c r="H16" s="1214"/>
      <c r="I16" s="1214"/>
      <c r="J16" s="1214"/>
      <c r="K16" s="1214"/>
      <c r="L16" s="1215"/>
      <c r="M16" s="1216"/>
      <c r="N16" s="1217"/>
      <c r="O16" s="1217"/>
      <c r="P16" s="1217"/>
      <c r="Q16" s="1217"/>
      <c r="R16" s="1217"/>
      <c r="S16" s="1217"/>
      <c r="T16" s="1217"/>
      <c r="U16" s="1217"/>
      <c r="V16" s="1217"/>
      <c r="W16" s="1217"/>
      <c r="X16" s="1217"/>
      <c r="Y16" s="1217"/>
      <c r="Z16" s="1217"/>
      <c r="AA16" s="1217"/>
      <c r="AB16" s="1217"/>
      <c r="AC16" s="1217"/>
      <c r="AD16" s="1217"/>
      <c r="AE16" s="1217"/>
      <c r="AF16" s="1217"/>
      <c r="AG16" s="1217"/>
      <c r="AH16" s="1217"/>
      <c r="AI16" s="1217"/>
      <c r="AJ16" s="1217"/>
      <c r="AK16" s="1217"/>
      <c r="AL16" s="1217"/>
      <c r="AM16" s="1217"/>
      <c r="AN16" s="1217"/>
      <c r="AO16" s="1217"/>
      <c r="AP16" s="1217"/>
      <c r="AQ16" s="1217"/>
      <c r="AR16" s="1217"/>
      <c r="AS16" s="1217"/>
      <c r="AT16" s="708"/>
      <c r="AU16" s="708"/>
      <c r="AV16" s="708"/>
      <c r="AW16" s="708"/>
      <c r="AX16" s="708"/>
      <c r="AY16" s="708"/>
      <c r="AZ16" s="708"/>
      <c r="BA16" s="208"/>
      <c r="BB16" s="208"/>
      <c r="BC16" s="208"/>
      <c r="BD16" s="208"/>
      <c r="BE16" s="208"/>
      <c r="BF16" s="208"/>
      <c r="BG16" s="1184"/>
      <c r="BH16" s="1184"/>
      <c r="BI16" s="1184"/>
      <c r="BJ16" s="1184"/>
      <c r="BK16" s="1184"/>
      <c r="BL16" s="1184"/>
      <c r="BM16" s="1184"/>
      <c r="BN16" s="1184"/>
      <c r="BO16" s="1184"/>
      <c r="BP16" s="1184"/>
      <c r="BQ16" s="1184"/>
      <c r="BR16" s="1184"/>
      <c r="BS16" s="1184"/>
      <c r="BT16" s="1184"/>
      <c r="BU16" s="1184"/>
      <c r="BV16" s="1184"/>
      <c r="BW16" s="1184"/>
      <c r="BX16" s="1184"/>
      <c r="BY16" s="1184"/>
      <c r="BZ16" s="208"/>
      <c r="CA16" s="208"/>
      <c r="CB16" s="208"/>
      <c r="CC16" s="208"/>
      <c r="CD16" s="211"/>
    </row>
    <row r="17" ht="18" customHeight="1">
      <c r="A17" s="1216"/>
      <c r="B17" t="s" s="1218">
        <v>1112</v>
      </c>
      <c r="C17" s="1219"/>
      <c r="D17" s="1219"/>
      <c r="E17" s="1217"/>
      <c r="F17" s="1217"/>
      <c r="G17" s="1217"/>
      <c r="H17" s="1217"/>
      <c r="I17" s="1217"/>
      <c r="J17" s="1217"/>
      <c r="K17" s="1217"/>
      <c r="L17" s="1220"/>
      <c r="M17" s="1216"/>
      <c r="N17" s="1217"/>
      <c r="O17" s="1217"/>
      <c r="P17" s="1217"/>
      <c r="Q17" s="1217"/>
      <c r="R17" s="1217"/>
      <c r="S17" s="1217"/>
      <c r="T17" s="1217"/>
      <c r="U17" s="1217"/>
      <c r="V17" s="1217"/>
      <c r="W17" s="1217"/>
      <c r="X17" s="1217"/>
      <c r="Y17" s="1217"/>
      <c r="Z17" s="1217"/>
      <c r="AA17" s="1217"/>
      <c r="AB17" s="1217"/>
      <c r="AC17" s="1217"/>
      <c r="AD17" s="1217"/>
      <c r="AE17" s="1217"/>
      <c r="AF17" s="1217"/>
      <c r="AG17" s="1217"/>
      <c r="AH17" s="1217"/>
      <c r="AI17" s="1217"/>
      <c r="AJ17" s="1217"/>
      <c r="AK17" s="1217"/>
      <c r="AL17" s="1217"/>
      <c r="AM17" s="1217"/>
      <c r="AN17" s="1217"/>
      <c r="AO17" s="1217"/>
      <c r="AP17" s="1217"/>
      <c r="AQ17" s="1217"/>
      <c r="AR17" s="1217"/>
      <c r="AS17" s="1217"/>
      <c r="AT17" s="708"/>
      <c r="AU17" s="708"/>
      <c r="AV17" s="708"/>
      <c r="AW17" s="708"/>
      <c r="AX17" s="708"/>
      <c r="AY17" s="708"/>
      <c r="AZ17" s="708"/>
      <c r="BA17" s="208"/>
      <c r="BB17" s="208"/>
      <c r="BC17" s="208"/>
      <c r="BD17" s="208"/>
      <c r="BE17" s="208"/>
      <c r="BF17" s="208"/>
      <c r="BG17" s="1184"/>
      <c r="BH17" s="1184"/>
      <c r="BI17" s="1184"/>
      <c r="BJ17" s="1184"/>
      <c r="BK17" s="1184"/>
      <c r="BL17" s="1184"/>
      <c r="BM17" s="1184"/>
      <c r="BN17" s="1184"/>
      <c r="BO17" s="1184"/>
      <c r="BP17" s="1184"/>
      <c r="BQ17" s="1184"/>
      <c r="BR17" s="1184"/>
      <c r="BS17" s="1184"/>
      <c r="BT17" s="1184"/>
      <c r="BU17" s="1184"/>
      <c r="BV17" s="1184"/>
      <c r="BW17" s="1184"/>
      <c r="BX17" s="1184"/>
      <c r="BY17" s="1184"/>
      <c r="BZ17" s="208"/>
      <c r="CA17" s="208"/>
      <c r="CB17" s="208"/>
      <c r="CC17" s="208"/>
      <c r="CD17" s="211"/>
    </row>
    <row r="18" ht="18" customHeight="1">
      <c r="A18" s="1216"/>
      <c r="B18" s="1217"/>
      <c r="C18" s="1217"/>
      <c r="D18" s="1217"/>
      <c r="E18" s="1217"/>
      <c r="F18" s="1217"/>
      <c r="G18" s="1217"/>
      <c r="H18" s="1217"/>
      <c r="I18" s="1217"/>
      <c r="J18" s="1217"/>
      <c r="K18" s="1217"/>
      <c r="L18" s="1220"/>
      <c r="M18" s="1216"/>
      <c r="N18" s="1217"/>
      <c r="O18" s="1217"/>
      <c r="P18" s="1217"/>
      <c r="Q18" s="1217"/>
      <c r="R18" s="1217"/>
      <c r="S18" s="1217"/>
      <c r="T18" s="1217"/>
      <c r="U18" s="1217"/>
      <c r="V18" s="1217"/>
      <c r="W18" s="1217"/>
      <c r="X18" s="1217"/>
      <c r="Y18" s="1217"/>
      <c r="Z18" s="1217"/>
      <c r="AA18" s="1217"/>
      <c r="AB18" s="1217"/>
      <c r="AC18" s="1217"/>
      <c r="AD18" s="1217"/>
      <c r="AE18" s="1217"/>
      <c r="AF18" s="1217"/>
      <c r="AG18" s="1217"/>
      <c r="AH18" s="1217"/>
      <c r="AI18" s="1217"/>
      <c r="AJ18" s="1217"/>
      <c r="AK18" s="1217"/>
      <c r="AL18" s="1217"/>
      <c r="AM18" s="1217"/>
      <c r="AN18" s="1217"/>
      <c r="AO18" s="1217"/>
      <c r="AP18" s="1217"/>
      <c r="AQ18" s="1217"/>
      <c r="AR18" s="1217"/>
      <c r="AS18" s="1217"/>
      <c r="AT18" s="708"/>
      <c r="AU18" s="708"/>
      <c r="AV18" s="708"/>
      <c r="AW18" s="708"/>
      <c r="AX18" s="708"/>
      <c r="AY18" s="708"/>
      <c r="AZ18" s="708"/>
      <c r="BA18" s="208"/>
      <c r="BB18" s="208"/>
      <c r="BC18" s="208"/>
      <c r="BD18" s="208"/>
      <c r="BE18" s="208"/>
      <c r="BF18" s="208"/>
      <c r="BG18" s="1184"/>
      <c r="BH18" s="1184"/>
      <c r="BI18" s="1184"/>
      <c r="BJ18" s="1184"/>
      <c r="BK18" s="1184"/>
      <c r="BL18" s="1184"/>
      <c r="BM18" s="1184"/>
      <c r="BN18" s="1184"/>
      <c r="BO18" s="1184"/>
      <c r="BP18" s="1184"/>
      <c r="BQ18" s="1184"/>
      <c r="BR18" s="1184"/>
      <c r="BS18" s="1184"/>
      <c r="BT18" s="1184"/>
      <c r="BU18" s="1184"/>
      <c r="BV18" s="1184"/>
      <c r="BW18" s="1184"/>
      <c r="BX18" s="1184"/>
      <c r="BY18" s="1184"/>
      <c r="BZ18" s="208"/>
      <c r="CA18" s="208"/>
      <c r="CB18" s="208"/>
      <c r="CC18" s="208"/>
      <c r="CD18" s="211"/>
    </row>
    <row r="19" ht="18" customHeight="1">
      <c r="A19" s="1216"/>
      <c r="B19" s="1217"/>
      <c r="C19" s="1217"/>
      <c r="D19" s="1217"/>
      <c r="E19" s="1217"/>
      <c r="F19" s="1217"/>
      <c r="G19" s="1217"/>
      <c r="H19" s="1217"/>
      <c r="I19" s="1217"/>
      <c r="J19" s="1217"/>
      <c r="K19" s="1217"/>
      <c r="L19" s="1220"/>
      <c r="M19" s="1216"/>
      <c r="N19" s="1217"/>
      <c r="O19" s="1217"/>
      <c r="P19" s="1217"/>
      <c r="Q19" s="1217"/>
      <c r="R19" s="1217"/>
      <c r="S19" s="1217"/>
      <c r="T19" s="1217"/>
      <c r="U19" s="1217"/>
      <c r="V19" s="1217"/>
      <c r="W19" s="1217"/>
      <c r="X19" s="1217"/>
      <c r="Y19" s="1217"/>
      <c r="Z19" s="1217"/>
      <c r="AA19" s="1217"/>
      <c r="AB19" s="1217"/>
      <c r="AC19" s="1217"/>
      <c r="AD19" s="1217"/>
      <c r="AE19" s="1217"/>
      <c r="AF19" s="1217"/>
      <c r="AG19" s="1217"/>
      <c r="AH19" s="1217"/>
      <c r="AI19" s="1217"/>
      <c r="AJ19" s="1217"/>
      <c r="AK19" s="1217"/>
      <c r="AL19" s="1217"/>
      <c r="AM19" s="1217"/>
      <c r="AN19" s="1217"/>
      <c r="AO19" s="1217"/>
      <c r="AP19" s="1217"/>
      <c r="AQ19" s="1217"/>
      <c r="AR19" s="1217"/>
      <c r="AS19" s="1217"/>
      <c r="AT19" s="708"/>
      <c r="AU19" s="708"/>
      <c r="AV19" s="708"/>
      <c r="AW19" s="708"/>
      <c r="AX19" s="708"/>
      <c r="AY19" s="708"/>
      <c r="AZ19" s="708"/>
      <c r="BA19" s="208"/>
      <c r="BB19" s="208"/>
      <c r="BC19" s="208"/>
      <c r="BD19" s="208"/>
      <c r="BE19" s="208"/>
      <c r="BF19" s="208"/>
      <c r="BG19" s="1184"/>
      <c r="BH19" s="1184"/>
      <c r="BI19" s="1184"/>
      <c r="BJ19" s="1184"/>
      <c r="BK19" s="1184"/>
      <c r="BL19" s="1184"/>
      <c r="BM19" s="1184"/>
      <c r="BN19" s="1184"/>
      <c r="BO19" s="1184"/>
      <c r="BP19" s="1184"/>
      <c r="BQ19" s="1184"/>
      <c r="BR19" s="1184"/>
      <c r="BS19" s="1184"/>
      <c r="BT19" s="1184"/>
      <c r="BU19" s="1184"/>
      <c r="BV19" s="1184"/>
      <c r="BW19" s="1184"/>
      <c r="BX19" s="1184"/>
      <c r="BY19" s="1184"/>
      <c r="BZ19" s="208"/>
      <c r="CA19" s="208"/>
      <c r="CB19" s="208"/>
      <c r="CC19" s="208"/>
      <c r="CD19" s="211"/>
    </row>
    <row r="20" ht="18" customHeight="1">
      <c r="A20" s="1216"/>
      <c r="B20" t="s" s="1221">
        <v>1113</v>
      </c>
      <c r="C20" s="1217"/>
      <c r="D20" s="1217"/>
      <c r="E20" s="1217"/>
      <c r="F20" s="1222">
        <f>IF(OR('Project Information'!C13="Off the Shelf"),C4,C7)</f>
        <v>1012770</v>
      </c>
      <c r="G20" s="1217"/>
      <c r="H20" s="1223"/>
      <c r="I20" s="1223"/>
      <c r="J20" s="1223"/>
      <c r="K20" s="1224"/>
      <c r="L20" s="1220"/>
      <c r="M20" s="1216"/>
      <c r="N20" s="1217"/>
      <c r="O20" s="1217"/>
      <c r="P20" s="1217"/>
      <c r="Q20" s="1217"/>
      <c r="R20" s="1217"/>
      <c r="S20" s="1217"/>
      <c r="T20" s="1217"/>
      <c r="U20" s="1217"/>
      <c r="V20" s="1217"/>
      <c r="W20" s="1217"/>
      <c r="X20" s="1217"/>
      <c r="Y20" s="1217"/>
      <c r="Z20" s="1217"/>
      <c r="AA20" s="1217"/>
      <c r="AB20" s="1217"/>
      <c r="AC20" s="1217"/>
      <c r="AD20" s="1217"/>
      <c r="AE20" s="1217"/>
      <c r="AF20" s="1217"/>
      <c r="AG20" s="1217"/>
      <c r="AH20" s="1217"/>
      <c r="AI20" s="1217"/>
      <c r="AJ20" s="1217"/>
      <c r="AK20" s="1217"/>
      <c r="AL20" s="1217"/>
      <c r="AM20" s="1217"/>
      <c r="AN20" s="1217"/>
      <c r="AO20" s="1217"/>
      <c r="AP20" s="1217"/>
      <c r="AQ20" s="1217"/>
      <c r="AR20" s="1217"/>
      <c r="AS20" s="1217"/>
      <c r="AT20" s="708"/>
      <c r="AU20" s="708"/>
      <c r="AV20" s="708"/>
      <c r="AW20" s="708"/>
      <c r="AX20" s="708"/>
      <c r="AY20" s="708"/>
      <c r="AZ20" s="708"/>
      <c r="BA20" s="208"/>
      <c r="BB20" s="208"/>
      <c r="BC20" s="208"/>
      <c r="BD20" s="208"/>
      <c r="BE20" s="208"/>
      <c r="BF20" s="208"/>
      <c r="BG20" s="1184"/>
      <c r="BH20" s="1184"/>
      <c r="BI20" s="1184"/>
      <c r="BJ20" s="1184"/>
      <c r="BK20" s="1184"/>
      <c r="BL20" s="1184"/>
      <c r="BM20" s="1184"/>
      <c r="BN20" s="1184"/>
      <c r="BO20" s="1184"/>
      <c r="BP20" s="1184"/>
      <c r="BQ20" s="1184"/>
      <c r="BR20" s="1184"/>
      <c r="BS20" s="1184"/>
      <c r="BT20" s="1184"/>
      <c r="BU20" s="1184"/>
      <c r="BV20" s="1184"/>
      <c r="BW20" s="1184"/>
      <c r="BX20" s="1184"/>
      <c r="BY20" s="1184"/>
      <c r="BZ20" s="208"/>
      <c r="CA20" s="208"/>
      <c r="CB20" s="208"/>
      <c r="CC20" s="208"/>
      <c r="CD20" s="211"/>
    </row>
    <row r="21" ht="18" customHeight="1">
      <c r="A21" s="1216"/>
      <c r="B21" t="s" s="1221">
        <v>1114</v>
      </c>
      <c r="C21" s="1217"/>
      <c r="D21" s="1217"/>
      <c r="E21" s="1220"/>
      <c r="F21" s="1225">
        <f>'Project Information'!C33/4.333333</f>
        <v>12.00000092307699</v>
      </c>
      <c r="G21" s="1216">
        <f>ROUND(F21,0)</f>
        <v>12</v>
      </c>
      <c r="H21" s="1217"/>
      <c r="I21" s="1217"/>
      <c r="J21" s="1217"/>
      <c r="K21" s="1217"/>
      <c r="L21" s="1220"/>
      <c r="M21" s="1216"/>
      <c r="N21" s="1217"/>
      <c r="O21" s="1217"/>
      <c r="P21" s="1217"/>
      <c r="Q21" s="1217"/>
      <c r="R21" s="1217"/>
      <c r="S21" s="1217"/>
      <c r="T21" s="1217"/>
      <c r="U21" s="1217"/>
      <c r="V21" s="1217"/>
      <c r="W21" s="1217"/>
      <c r="X21" s="1217"/>
      <c r="Y21" s="1217"/>
      <c r="Z21" s="1217"/>
      <c r="AA21" s="1217"/>
      <c r="AB21" s="1217"/>
      <c r="AC21" s="1217"/>
      <c r="AD21" s="1217"/>
      <c r="AE21" s="1217"/>
      <c r="AF21" s="1217"/>
      <c r="AG21" s="1217"/>
      <c r="AH21" s="1217"/>
      <c r="AI21" s="1217"/>
      <c r="AJ21" s="1217"/>
      <c r="AK21" s="1217"/>
      <c r="AL21" s="1217"/>
      <c r="AM21" s="1217"/>
      <c r="AN21" s="1217"/>
      <c r="AO21" s="1217"/>
      <c r="AP21" s="1217"/>
      <c r="AQ21" s="1217"/>
      <c r="AR21" s="1217"/>
      <c r="AS21" s="1217"/>
      <c r="AT21" s="708"/>
      <c r="AU21" s="708"/>
      <c r="AV21" s="708"/>
      <c r="AW21" s="708"/>
      <c r="AX21" s="708"/>
      <c r="AY21" s="708"/>
      <c r="AZ21" s="708"/>
      <c r="BA21" s="208"/>
      <c r="BB21" s="208"/>
      <c r="BC21" s="208"/>
      <c r="BD21" s="208"/>
      <c r="BE21" s="208"/>
      <c r="BF21" s="208"/>
      <c r="BG21" s="1184"/>
      <c r="BH21" s="1184"/>
      <c r="BI21" s="1184"/>
      <c r="BJ21" s="1184"/>
      <c r="BK21" s="1184"/>
      <c r="BL21" s="1184"/>
      <c r="BM21" s="1184"/>
      <c r="BN21" s="1184"/>
      <c r="BO21" s="1184"/>
      <c r="BP21" s="1184"/>
      <c r="BQ21" s="1184"/>
      <c r="BR21" s="1184"/>
      <c r="BS21" s="1184"/>
      <c r="BT21" s="1184"/>
      <c r="BU21" s="1184"/>
      <c r="BV21" s="1184"/>
      <c r="BW21" s="1184"/>
      <c r="BX21" s="1184"/>
      <c r="BY21" s="1184"/>
      <c r="BZ21" s="208"/>
      <c r="CA21" s="208"/>
      <c r="CB21" s="208"/>
      <c r="CC21" s="208"/>
      <c r="CD21" s="211"/>
    </row>
    <row r="22" ht="18" customHeight="1">
      <c r="A22" s="1216"/>
      <c r="B22" t="s" s="1221">
        <v>1115</v>
      </c>
      <c r="C22" s="1217"/>
      <c r="D22" s="1217"/>
      <c r="E22" s="1220"/>
      <c r="F22" s="1226">
        <f>MONTH((DATE(1899,12,31)+(0*7+IF('Project Information'!C27&gt;60,'Project Information'!C27-1,'Project Information'!C27))))</f>
      </c>
      <c r="G22" s="1216">
        <f>ROUND(F22,0)</f>
      </c>
      <c r="H22" s="1217"/>
      <c r="I22" s="1217"/>
      <c r="J22" s="1217"/>
      <c r="K22" s="1217"/>
      <c r="L22" s="1220"/>
      <c r="M22" s="1216"/>
      <c r="N22" s="1217"/>
      <c r="O22" s="1217"/>
      <c r="P22" s="1217"/>
      <c r="Q22" s="1217"/>
      <c r="R22" s="1217"/>
      <c r="S22" s="1217"/>
      <c r="T22" s="1217"/>
      <c r="U22" s="1217"/>
      <c r="V22" s="1217"/>
      <c r="W22" s="1217"/>
      <c r="X22" s="1217"/>
      <c r="Y22" s="1217"/>
      <c r="Z22" s="1217"/>
      <c r="AA22" s="1217"/>
      <c r="AB22" s="1217"/>
      <c r="AC22" s="1217"/>
      <c r="AD22" s="1217"/>
      <c r="AE22" s="1217"/>
      <c r="AF22" s="1217"/>
      <c r="AG22" s="1217"/>
      <c r="AH22" s="1217"/>
      <c r="AI22" s="1217"/>
      <c r="AJ22" s="1217"/>
      <c r="AK22" s="1217"/>
      <c r="AL22" s="1217"/>
      <c r="AM22" s="1217"/>
      <c r="AN22" s="1217"/>
      <c r="AO22" s="1217"/>
      <c r="AP22" s="1217"/>
      <c r="AQ22" s="1217"/>
      <c r="AR22" s="1217"/>
      <c r="AS22" s="1217"/>
      <c r="AT22" s="708"/>
      <c r="AU22" s="708"/>
      <c r="AV22" s="708"/>
      <c r="AW22" s="708"/>
      <c r="AX22" s="708"/>
      <c r="AY22" s="708"/>
      <c r="AZ22" s="708"/>
      <c r="BA22" s="208"/>
      <c r="BB22" s="208"/>
      <c r="BC22" s="208"/>
      <c r="BD22" s="208"/>
      <c r="BE22" s="208"/>
      <c r="BF22" s="208"/>
      <c r="BG22" s="1184"/>
      <c r="BH22" s="1184"/>
      <c r="BI22" s="1184"/>
      <c r="BJ22" s="1184"/>
      <c r="BK22" s="1184"/>
      <c r="BL22" s="1184"/>
      <c r="BM22" s="1184"/>
      <c r="BN22" s="1184"/>
      <c r="BO22" s="1184"/>
      <c r="BP22" s="1184"/>
      <c r="BQ22" s="1184"/>
      <c r="BR22" s="1184"/>
      <c r="BS22" s="1184"/>
      <c r="BT22" s="1184"/>
      <c r="BU22" s="1184"/>
      <c r="BV22" s="1184"/>
      <c r="BW22" s="1184"/>
      <c r="BX22" s="1184"/>
      <c r="BY22" s="1184"/>
      <c r="BZ22" s="208"/>
      <c r="CA22" s="208"/>
      <c r="CB22" s="208"/>
      <c r="CC22" s="208"/>
      <c r="CD22" s="211"/>
    </row>
    <row r="23" ht="18" customHeight="1">
      <c r="A23" s="1216"/>
      <c r="B23" s="1217"/>
      <c r="C23" s="1217"/>
      <c r="D23" s="1217"/>
      <c r="E23" s="1217"/>
      <c r="F23" s="1214"/>
      <c r="G23" s="1217"/>
      <c r="H23" s="1217"/>
      <c r="I23" s="1217"/>
      <c r="J23" s="1217"/>
      <c r="K23" s="1217"/>
      <c r="L23" s="1220"/>
      <c r="M23" s="1216"/>
      <c r="N23" s="1217"/>
      <c r="O23" s="1217"/>
      <c r="P23" s="1217"/>
      <c r="Q23" s="1217"/>
      <c r="R23" s="1217"/>
      <c r="S23" s="1217"/>
      <c r="T23" s="1217"/>
      <c r="U23" s="1217"/>
      <c r="V23" s="1217"/>
      <c r="W23" s="1217"/>
      <c r="X23" s="1217"/>
      <c r="Y23" s="1217"/>
      <c r="Z23" s="1217"/>
      <c r="AA23" s="1217"/>
      <c r="AB23" s="1217"/>
      <c r="AC23" s="1217"/>
      <c r="AD23" s="1217"/>
      <c r="AE23" s="1217"/>
      <c r="AF23" s="1217"/>
      <c r="AG23" s="1217"/>
      <c r="AH23" s="1217"/>
      <c r="AI23" s="1217"/>
      <c r="AJ23" s="1217"/>
      <c r="AK23" s="1217"/>
      <c r="AL23" s="1217"/>
      <c r="AM23" s="1217"/>
      <c r="AN23" s="1217"/>
      <c r="AO23" s="1217"/>
      <c r="AP23" s="1217"/>
      <c r="AQ23" s="1217"/>
      <c r="AR23" s="1217"/>
      <c r="AS23" s="1217"/>
      <c r="AT23" s="708"/>
      <c r="AU23" s="708"/>
      <c r="AV23" s="708"/>
      <c r="AW23" s="708"/>
      <c r="AX23" s="708"/>
      <c r="AY23" s="708"/>
      <c r="AZ23" s="708"/>
      <c r="BA23" s="208"/>
      <c r="BB23" s="208"/>
      <c r="BC23" s="208"/>
      <c r="BD23" s="208"/>
      <c r="BE23" s="208"/>
      <c r="BF23" s="208"/>
      <c r="BG23" s="1184"/>
      <c r="BH23" s="1184"/>
      <c r="BI23" s="1184"/>
      <c r="BJ23" s="1184"/>
      <c r="BK23" s="1184"/>
      <c r="BL23" s="1184"/>
      <c r="BM23" s="1184"/>
      <c r="BN23" s="1184"/>
      <c r="BO23" s="1184"/>
      <c r="BP23" s="1184"/>
      <c r="BQ23" s="1184"/>
      <c r="BR23" s="1184"/>
      <c r="BS23" s="1184"/>
      <c r="BT23" s="1184"/>
      <c r="BU23" s="1184"/>
      <c r="BV23" s="1184"/>
      <c r="BW23" s="1184"/>
      <c r="BX23" s="1184"/>
      <c r="BY23" s="1184"/>
      <c r="BZ23" s="208"/>
      <c r="CA23" s="208"/>
      <c r="CB23" s="208"/>
      <c r="CC23" s="208"/>
      <c r="CD23" s="211"/>
    </row>
    <row r="24" ht="18" customHeight="1">
      <c r="A24" t="s" s="1227">
        <v>1116</v>
      </c>
      <c r="B24" s="1217"/>
      <c r="C24" s="1217"/>
      <c r="D24" s="1217"/>
      <c r="E24" s="1217"/>
      <c r="F24" t="s" s="1228">
        <v>1117</v>
      </c>
      <c r="G24" s="1217"/>
      <c r="H24" s="1217"/>
      <c r="I24" s="1217"/>
      <c r="J24" s="1217"/>
      <c r="K24" s="1229"/>
      <c r="L24" s="1220"/>
      <c r="M24" s="1216"/>
      <c r="N24" s="1217"/>
      <c r="O24" s="1217"/>
      <c r="P24" s="1217"/>
      <c r="Q24" s="1217"/>
      <c r="R24" s="1217"/>
      <c r="S24" s="1217"/>
      <c r="T24" s="1217"/>
      <c r="U24" s="1217"/>
      <c r="V24" s="1217"/>
      <c r="W24" s="1217"/>
      <c r="X24" s="1217"/>
      <c r="Y24" s="1217"/>
      <c r="Z24" s="1217"/>
      <c r="AA24" s="1217"/>
      <c r="AB24" s="1217"/>
      <c r="AC24" s="1217"/>
      <c r="AD24" s="1217"/>
      <c r="AE24" s="1217"/>
      <c r="AF24" s="1217"/>
      <c r="AG24" s="1217"/>
      <c r="AH24" s="1217"/>
      <c r="AI24" s="1217"/>
      <c r="AJ24" s="1217"/>
      <c r="AK24" s="1217"/>
      <c r="AL24" s="1217"/>
      <c r="AM24" s="1217"/>
      <c r="AN24" s="1217"/>
      <c r="AO24" s="1217"/>
      <c r="AP24" s="1217"/>
      <c r="AQ24" s="1217"/>
      <c r="AR24" s="1217"/>
      <c r="AS24" s="1217"/>
      <c r="AT24" s="708"/>
      <c r="AU24" s="708"/>
      <c r="AV24" s="708"/>
      <c r="AW24" s="708"/>
      <c r="AX24" s="708"/>
      <c r="AY24" s="708"/>
      <c r="AZ24" s="708"/>
      <c r="BA24" s="208"/>
      <c r="BB24" s="208"/>
      <c r="BC24" s="208"/>
      <c r="BD24" s="208"/>
      <c r="BE24" s="208"/>
      <c r="BF24" s="208"/>
      <c r="BG24" s="1184"/>
      <c r="BH24" s="1184"/>
      <c r="BI24" s="1184"/>
      <c r="BJ24" s="1184"/>
      <c r="BK24" s="1184"/>
      <c r="BL24" s="1184"/>
      <c r="BM24" s="1184"/>
      <c r="BN24" s="1184"/>
      <c r="BO24" s="1184"/>
      <c r="BP24" s="1184"/>
      <c r="BQ24" s="1184"/>
      <c r="BR24" s="1184"/>
      <c r="BS24" s="1184"/>
      <c r="BT24" s="1184"/>
      <c r="BU24" s="1184"/>
      <c r="BV24" s="1184"/>
      <c r="BW24" s="1184"/>
      <c r="BX24" s="1184"/>
      <c r="BY24" s="1184"/>
      <c r="BZ24" s="208"/>
      <c r="CA24" s="208"/>
      <c r="CB24" s="208"/>
      <c r="CC24" s="208"/>
      <c r="CD24" s="211"/>
    </row>
    <row r="25" ht="18" customHeight="1">
      <c r="A25" s="1216"/>
      <c r="B25" t="s" s="1230">
        <v>923</v>
      </c>
      <c r="C25" s="1223"/>
      <c r="D25" s="1223"/>
      <c r="E25" s="1217"/>
      <c r="F25" t="s" s="1230">
        <v>622</v>
      </c>
      <c r="G25" s="1217"/>
      <c r="H25" s="1217"/>
      <c r="I25" s="1217"/>
      <c r="J25" s="1217"/>
      <c r="K25" s="1223"/>
      <c r="L25" s="1220"/>
      <c r="M25" s="1216"/>
      <c r="N25" s="1217"/>
      <c r="O25" s="1217"/>
      <c r="P25" s="1217"/>
      <c r="Q25" s="1217"/>
      <c r="R25" s="1217"/>
      <c r="S25" s="1217"/>
      <c r="T25" s="1217"/>
      <c r="U25" s="1217"/>
      <c r="V25" s="1217"/>
      <c r="W25" s="1217"/>
      <c r="X25" s="1217"/>
      <c r="Y25" s="1217"/>
      <c r="Z25" s="1217"/>
      <c r="AA25" s="1217"/>
      <c r="AB25" s="1217"/>
      <c r="AC25" s="1217"/>
      <c r="AD25" s="1217"/>
      <c r="AE25" s="1217"/>
      <c r="AF25" s="1217"/>
      <c r="AG25" s="1217"/>
      <c r="AH25" s="1217"/>
      <c r="AI25" s="1217"/>
      <c r="AJ25" s="1217"/>
      <c r="AK25" s="1217"/>
      <c r="AL25" s="1217"/>
      <c r="AM25" s="1217"/>
      <c r="AN25" s="1217"/>
      <c r="AO25" s="1217"/>
      <c r="AP25" s="1217"/>
      <c r="AQ25" s="1217"/>
      <c r="AR25" s="1217"/>
      <c r="AS25" s="1217"/>
      <c r="AT25" s="708"/>
      <c r="AU25" s="708"/>
      <c r="AV25" s="708"/>
      <c r="AW25" s="708"/>
      <c r="AX25" s="708"/>
      <c r="AY25" s="708"/>
      <c r="AZ25" s="708"/>
      <c r="BA25" s="208"/>
      <c r="BB25" s="208"/>
      <c r="BC25" s="208"/>
      <c r="BD25" s="208"/>
      <c r="BE25" s="208"/>
      <c r="BF25" s="208"/>
      <c r="BG25" s="1184"/>
      <c r="BH25" s="1184"/>
      <c r="BI25" s="1184"/>
      <c r="BJ25" s="1184"/>
      <c r="BK25" s="1184"/>
      <c r="BL25" s="1184"/>
      <c r="BM25" s="1184"/>
      <c r="BN25" s="1184"/>
      <c r="BO25" s="1184"/>
      <c r="BP25" s="1184"/>
      <c r="BQ25" s="1184"/>
      <c r="BR25" s="1184"/>
      <c r="BS25" s="1184"/>
      <c r="BT25" s="1184"/>
      <c r="BU25" s="1184"/>
      <c r="BV25" s="1184"/>
      <c r="BW25" s="1184"/>
      <c r="BX25" s="1184"/>
      <c r="BY25" s="1184"/>
      <c r="BZ25" s="208"/>
      <c r="CA25" s="208"/>
      <c r="CB25" s="208"/>
      <c r="CC25" s="208"/>
      <c r="CD25" s="211"/>
    </row>
    <row r="26" ht="18" customHeight="1">
      <c r="A26" s="1231"/>
      <c r="B26" s="1217"/>
      <c r="C26" s="1217"/>
      <c r="D26" s="1217"/>
      <c r="E26" s="1217"/>
      <c r="F26" s="1217"/>
      <c r="G26" s="1217"/>
      <c r="H26" s="1217"/>
      <c r="I26" s="1217"/>
      <c r="J26" s="1217"/>
      <c r="K26" s="1217"/>
      <c r="L26" s="1220"/>
      <c r="M26" s="1232">
        <v>0</v>
      </c>
      <c r="N26" s="1221">
        <v>1</v>
      </c>
      <c r="O26" s="1221">
        <v>2</v>
      </c>
      <c r="P26" s="1221">
        <v>3</v>
      </c>
      <c r="Q26" s="1233">
        <v>4</v>
      </c>
      <c r="R26" s="1233">
        <v>5</v>
      </c>
      <c r="S26" s="1233">
        <v>6</v>
      </c>
      <c r="T26" s="1233">
        <v>7</v>
      </c>
      <c r="U26" s="1233">
        <v>8</v>
      </c>
      <c r="V26" s="1233">
        <v>9</v>
      </c>
      <c r="W26" s="1233">
        <v>10</v>
      </c>
      <c r="X26" s="1233">
        <v>11</v>
      </c>
      <c r="Y26" s="1233">
        <v>12</v>
      </c>
      <c r="Z26" s="1233">
        <v>13</v>
      </c>
      <c r="AA26" s="1233">
        <v>14</v>
      </c>
      <c r="AB26" s="1233">
        <v>15</v>
      </c>
      <c r="AC26" s="1233">
        <v>16</v>
      </c>
      <c r="AD26" s="1233">
        <v>17</v>
      </c>
      <c r="AE26" s="1233">
        <v>18</v>
      </c>
      <c r="AF26" s="1221">
        <v>19</v>
      </c>
      <c r="AG26" s="1233">
        <v>20</v>
      </c>
      <c r="AH26" s="1221">
        <v>21</v>
      </c>
      <c r="AI26" s="1233">
        <v>22</v>
      </c>
      <c r="AJ26" s="1233">
        <v>23</v>
      </c>
      <c r="AK26" s="1221">
        <v>24</v>
      </c>
      <c r="AL26" s="1233">
        <v>25</v>
      </c>
      <c r="AM26" s="1221">
        <v>26</v>
      </c>
      <c r="AN26" s="1233">
        <v>27</v>
      </c>
      <c r="AO26" s="1233">
        <v>28</v>
      </c>
      <c r="AP26" s="1221">
        <v>29</v>
      </c>
      <c r="AQ26" s="1233">
        <v>30</v>
      </c>
      <c r="AR26" s="1221">
        <v>31</v>
      </c>
      <c r="AS26" s="1221">
        <v>32</v>
      </c>
      <c r="AT26" s="751">
        <v>33</v>
      </c>
      <c r="AU26" s="751">
        <v>34</v>
      </c>
      <c r="AV26" s="751">
        <v>35</v>
      </c>
      <c r="AW26" s="751">
        <v>36</v>
      </c>
      <c r="AX26" s="708"/>
      <c r="AY26" s="708"/>
      <c r="AZ26" s="708"/>
      <c r="BA26" s="208"/>
      <c r="BB26" s="208"/>
      <c r="BC26" s="208"/>
      <c r="BD26" s="208"/>
      <c r="BE26" s="208"/>
      <c r="BF26" s="208"/>
      <c r="BG26" s="1184"/>
      <c r="BH26" s="1184"/>
      <c r="BI26" s="1184"/>
      <c r="BJ26" s="1184"/>
      <c r="BK26" s="1184"/>
      <c r="BL26" s="1184"/>
      <c r="BM26" s="1184"/>
      <c r="BN26" s="1184"/>
      <c r="BO26" s="1184"/>
      <c r="BP26" s="1184"/>
      <c r="BQ26" s="1184"/>
      <c r="BR26" s="1184"/>
      <c r="BS26" s="1184"/>
      <c r="BT26" s="1184"/>
      <c r="BU26" s="1184"/>
      <c r="BV26" s="1184"/>
      <c r="BW26" s="1184"/>
      <c r="BX26" s="1184"/>
      <c r="BY26" s="1184"/>
      <c r="BZ26" s="208"/>
      <c r="CA26" s="208"/>
      <c r="CB26" s="208"/>
      <c r="CC26" s="208"/>
      <c r="CD26" s="211"/>
    </row>
    <row r="27" ht="18" customHeight="1">
      <c r="A27" s="1234">
        <v>1</v>
      </c>
      <c r="B27" s="1235">
        <f>HLOOKUP($G$21,$M$26:$AW$64,2)</f>
        <v>0.04</v>
      </c>
      <c r="C27" s="1236"/>
      <c r="D27" s="1236"/>
      <c r="E27" s="1217"/>
      <c r="F27" s="1233">
        <f>ROUND($B27*$F$20,0)</f>
        <v>40511</v>
      </c>
      <c r="G27" s="1217"/>
      <c r="H27" s="1217"/>
      <c r="I27" s="1217"/>
      <c r="J27" s="1217"/>
      <c r="K27" s="1233"/>
      <c r="L27" s="1220"/>
      <c r="M27" s="1237">
        <v>1</v>
      </c>
      <c r="N27" s="1238">
        <v>1</v>
      </c>
      <c r="O27" s="1238">
        <v>0.5</v>
      </c>
      <c r="P27" s="1238">
        <v>0.34</v>
      </c>
      <c r="Q27" s="1239">
        <v>0.2</v>
      </c>
      <c r="R27" s="1239">
        <v>0.15</v>
      </c>
      <c r="S27" s="1239">
        <v>0.1</v>
      </c>
      <c r="T27" s="1239">
        <v>0.1</v>
      </c>
      <c r="U27" s="1239">
        <v>0.08</v>
      </c>
      <c r="V27" s="1239">
        <v>0.06</v>
      </c>
      <c r="W27" s="1239">
        <v>0.07000000000000001</v>
      </c>
      <c r="X27" s="1239">
        <v>0.07000000000000001</v>
      </c>
      <c r="Y27" s="1239">
        <v>0.04</v>
      </c>
      <c r="Z27" s="1239">
        <v>0.04</v>
      </c>
      <c r="AA27" s="1239">
        <v>0.04</v>
      </c>
      <c r="AB27" s="1239">
        <v>0.04</v>
      </c>
      <c r="AC27" s="1239">
        <v>0.03</v>
      </c>
      <c r="AD27" s="1239">
        <v>0.03</v>
      </c>
      <c r="AE27" s="1239">
        <v>0.026</v>
      </c>
      <c r="AF27" s="1239">
        <v>0.01989468421052631</v>
      </c>
      <c r="AG27" s="1239">
        <v>0.01805004999999999</v>
      </c>
      <c r="AH27" s="1239">
        <v>0.0161904285714286</v>
      </c>
      <c r="AI27" s="1239">
        <v>0.01431818181818181</v>
      </c>
      <c r="AJ27" s="1239">
        <v>0.01243482608695653</v>
      </c>
      <c r="AK27" s="1239">
        <v>0.01054166666666666</v>
      </c>
      <c r="AL27" s="1239">
        <v>0.009599999999999987</v>
      </c>
      <c r="AM27" s="1239">
        <v>0.008653807692307704</v>
      </c>
      <c r="AN27" s="1239">
        <v>0.007703740740740742</v>
      </c>
      <c r="AO27" s="1239">
        <v>0.006749999999999992</v>
      </c>
      <c r="AP27" s="1239">
        <v>0.005793068965517248</v>
      </c>
      <c r="AQ27" s="1239">
        <v>0.005</v>
      </c>
      <c r="AR27" s="1239">
        <v>0.004</v>
      </c>
      <c r="AS27" s="1239">
        <f>AR27-0.1%</f>
        <v>0.003</v>
      </c>
      <c r="AT27" s="1240">
        <f>AS27-0.1%</f>
        <v>0.002</v>
      </c>
      <c r="AU27" s="1240">
        <f>AT27-0.05%</f>
        <v>0.0015</v>
      </c>
      <c r="AV27" s="1240">
        <f>AU27-0.05%</f>
        <v>0.001</v>
      </c>
      <c r="AW27" s="1240">
        <f>AV27-0.05%</f>
        <v>0.0005</v>
      </c>
      <c r="AX27" s="708"/>
      <c r="AY27" s="708"/>
      <c r="AZ27" s="708"/>
      <c r="BA27" s="208"/>
      <c r="BB27" s="208"/>
      <c r="BC27" s="208"/>
      <c r="BD27" s="208"/>
      <c r="BE27" s="208"/>
      <c r="BF27" s="208"/>
      <c r="BG27" s="1184"/>
      <c r="BH27" s="1184"/>
      <c r="BI27" s="1184"/>
      <c r="BJ27" s="1184"/>
      <c r="BK27" s="1184"/>
      <c r="BL27" s="1184"/>
      <c r="BM27" s="1184"/>
      <c r="BN27" s="1184"/>
      <c r="BO27" s="1184"/>
      <c r="BP27" s="1184"/>
      <c r="BQ27" s="1184"/>
      <c r="BR27" s="1184"/>
      <c r="BS27" s="1184"/>
      <c r="BT27" s="1184"/>
      <c r="BU27" s="1184"/>
      <c r="BV27" s="1184"/>
      <c r="BW27" s="1184"/>
      <c r="BX27" s="1184"/>
      <c r="BY27" s="1184"/>
      <c r="BZ27" s="208"/>
      <c r="CA27" s="208"/>
      <c r="CB27" s="208"/>
      <c r="CC27" s="208"/>
      <c r="CD27" s="211"/>
    </row>
    <row r="28" ht="18" customHeight="1">
      <c r="A28" s="1234">
        <v>2</v>
      </c>
      <c r="B28" s="1235">
        <f>HLOOKUP($G$21,$M$26:$AW$64,3,-1)</f>
        <v>0.06</v>
      </c>
      <c r="C28" s="1236"/>
      <c r="D28" s="1236"/>
      <c r="E28" s="1217"/>
      <c r="F28" s="1233">
        <f>ROUND($B28*$F$20,0)</f>
        <v>60766</v>
      </c>
      <c r="G28" s="1217"/>
      <c r="H28" s="1217"/>
      <c r="I28" s="1217"/>
      <c r="J28" s="1217"/>
      <c r="K28" s="1233"/>
      <c r="L28" s="1220"/>
      <c r="M28" s="1237"/>
      <c r="N28" s="1238"/>
      <c r="O28" s="1238">
        <v>0.5</v>
      </c>
      <c r="P28" s="1238">
        <v>0.33</v>
      </c>
      <c r="Q28" s="1239">
        <v>0.34</v>
      </c>
      <c r="R28" s="1239">
        <v>0.24</v>
      </c>
      <c r="S28" s="1239">
        <v>0.17</v>
      </c>
      <c r="T28" s="1239">
        <v>0.14</v>
      </c>
      <c r="U28" s="1239">
        <v>0.12</v>
      </c>
      <c r="V28" s="1239">
        <v>0.1</v>
      </c>
      <c r="W28" s="1239">
        <v>0.08</v>
      </c>
      <c r="X28" s="1239">
        <v>0.08</v>
      </c>
      <c r="Y28" s="1239">
        <v>0.06</v>
      </c>
      <c r="Z28" s="1239">
        <v>0.06</v>
      </c>
      <c r="AA28" s="1239">
        <v>0.05</v>
      </c>
      <c r="AB28" s="1239">
        <v>0.05</v>
      </c>
      <c r="AC28" s="1239">
        <v>0.04</v>
      </c>
      <c r="AD28" s="1239">
        <v>0.035</v>
      </c>
      <c r="AE28" s="1239">
        <v>0.033</v>
      </c>
      <c r="AF28" s="1239">
        <v>0.0248946842105263</v>
      </c>
      <c r="AG28" s="1239">
        <v>0.0189447342105263</v>
      </c>
      <c r="AH28" s="1239">
        <v>0.01724047857142859</v>
      </c>
      <c r="AI28" s="1239">
        <v>0.01550861038961041</v>
      </c>
      <c r="AJ28" s="1239">
        <v>0.01375300790513834</v>
      </c>
      <c r="AK28" s="1239">
        <v>0.01197649275362319</v>
      </c>
      <c r="AL28" s="1239">
        <v>0.01014166666666664</v>
      </c>
      <c r="AM28" s="1239">
        <v>0.009253807692307691</v>
      </c>
      <c r="AN28" s="1239">
        <v>0.008357548433048445</v>
      </c>
      <c r="AO28" s="1239">
        <v>0.007453740740740734</v>
      </c>
      <c r="AP28" s="1239">
        <v>0.00654306896551724</v>
      </c>
      <c r="AQ28" s="1239">
        <v>0.007</v>
      </c>
      <c r="AR28" s="1239">
        <v>0.006</v>
      </c>
      <c r="AS28" s="1239">
        <f>AR28-0.1%</f>
        <v>0.005</v>
      </c>
      <c r="AT28" s="1240">
        <f>AS28-0.1%</f>
        <v>0.004</v>
      </c>
      <c r="AU28" s="1240">
        <f>AT28-0.05%</f>
        <v>0.0035</v>
      </c>
      <c r="AV28" s="1240">
        <f>AU28-0.05%</f>
        <v>0.003</v>
      </c>
      <c r="AW28" s="1240">
        <f>AV28-0.05%</f>
        <v>0.0025</v>
      </c>
      <c r="AX28" s="708"/>
      <c r="AY28" s="708"/>
      <c r="AZ28" s="708"/>
      <c r="BA28" s="208"/>
      <c r="BB28" s="208"/>
      <c r="BC28" s="208"/>
      <c r="BD28" s="208"/>
      <c r="BE28" s="208"/>
      <c r="BF28" s="208"/>
      <c r="BG28" s="1184"/>
      <c r="BH28" s="1184"/>
      <c r="BI28" s="1184"/>
      <c r="BJ28" s="1184"/>
      <c r="BK28" s="1184"/>
      <c r="BL28" s="1184"/>
      <c r="BM28" s="1184"/>
      <c r="BN28" s="1184"/>
      <c r="BO28" s="1184"/>
      <c r="BP28" s="1184"/>
      <c r="BQ28" s="1184"/>
      <c r="BR28" s="1184"/>
      <c r="BS28" s="1184"/>
      <c r="BT28" s="1184"/>
      <c r="BU28" s="1184"/>
      <c r="BV28" s="1184"/>
      <c r="BW28" s="1184"/>
      <c r="BX28" s="1184"/>
      <c r="BY28" s="1184"/>
      <c r="BZ28" s="208"/>
      <c r="CA28" s="208"/>
      <c r="CB28" s="208"/>
      <c r="CC28" s="208"/>
      <c r="CD28" s="211"/>
    </row>
    <row r="29" ht="18" customHeight="1">
      <c r="A29" s="1234">
        <v>3</v>
      </c>
      <c r="B29" s="1235">
        <f>HLOOKUP($G$21,$M$26:$AW$64,4,-1)</f>
        <v>0.08</v>
      </c>
      <c r="C29" s="1236"/>
      <c r="D29" s="1236"/>
      <c r="E29" s="1217"/>
      <c r="F29" s="1233">
        <f>ROUND($B29*$F$20,0)</f>
        <v>81022</v>
      </c>
      <c r="G29" s="1217"/>
      <c r="H29" s="1217"/>
      <c r="I29" s="1217"/>
      <c r="J29" s="1217"/>
      <c r="K29" s="1233"/>
      <c r="L29" s="1220"/>
      <c r="M29" s="1216"/>
      <c r="N29" s="1238"/>
      <c r="O29" s="1217"/>
      <c r="P29" s="1238">
        <v>0.33</v>
      </c>
      <c r="Q29" s="1239">
        <v>0.29</v>
      </c>
      <c r="R29" s="1239">
        <v>0.27</v>
      </c>
      <c r="S29" s="1239">
        <v>0.2</v>
      </c>
      <c r="T29" s="1239">
        <v>0.17</v>
      </c>
      <c r="U29" s="1239">
        <v>0.15</v>
      </c>
      <c r="V29" s="1239">
        <v>0.13</v>
      </c>
      <c r="W29" s="1239">
        <v>0.1</v>
      </c>
      <c r="X29" s="1239">
        <v>0.1</v>
      </c>
      <c r="Y29" s="1239">
        <v>0.08</v>
      </c>
      <c r="Z29" s="1239">
        <v>0.08</v>
      </c>
      <c r="AA29" s="1239">
        <v>0.08</v>
      </c>
      <c r="AB29" s="1239">
        <v>0.07000000000000001</v>
      </c>
      <c r="AC29" s="1239">
        <v>0.045</v>
      </c>
      <c r="AD29" s="1239">
        <v>0.04</v>
      </c>
      <c r="AE29" s="1239">
        <v>0.04</v>
      </c>
      <c r="AF29" s="1239">
        <v>0.03189468421052631</v>
      </c>
      <c r="AG29" s="1239">
        <v>0.0239447342105263</v>
      </c>
      <c r="AH29" s="1239">
        <v>0.0181351627819549</v>
      </c>
      <c r="AI29" s="1239">
        <v>0.0165586603896104</v>
      </c>
      <c r="AJ29" s="1239">
        <v>0.01494343647656694</v>
      </c>
      <c r="AK29" s="1239">
        <v>0.013294674571805</v>
      </c>
      <c r="AL29" s="1239">
        <v>0.01157649275362318</v>
      </c>
      <c r="AM29" s="1239">
        <v>0.009795474358974347</v>
      </c>
      <c r="AN29" s="1239">
        <v>0.008957548433048433</v>
      </c>
      <c r="AO29" s="1239">
        <v>0.008107548433048437</v>
      </c>
      <c r="AP29" s="1239">
        <v>0.007246809706257982</v>
      </c>
      <c r="AQ29" s="1239">
        <v>0.007</v>
      </c>
      <c r="AR29" s="1239">
        <v>0.006</v>
      </c>
      <c r="AS29" s="1239">
        <f>AR29-0.1%</f>
        <v>0.005</v>
      </c>
      <c r="AT29" s="1240">
        <f>AS29-0.1%</f>
        <v>0.004</v>
      </c>
      <c r="AU29" s="1240">
        <f>AT29-0.05%</f>
        <v>0.0035</v>
      </c>
      <c r="AV29" s="1240">
        <f>AU29-0.05%</f>
        <v>0.003</v>
      </c>
      <c r="AW29" s="1240">
        <f>AV29-0.05%</f>
        <v>0.0025</v>
      </c>
      <c r="AX29" s="708"/>
      <c r="AY29" s="708"/>
      <c r="AZ29" s="708"/>
      <c r="BA29" s="208"/>
      <c r="BB29" s="208"/>
      <c r="BC29" s="208"/>
      <c r="BD29" s="208"/>
      <c r="BE29" s="208"/>
      <c r="BF29" s="208"/>
      <c r="BG29" s="1184"/>
      <c r="BH29" s="1184"/>
      <c r="BI29" s="1184"/>
      <c r="BJ29" s="1184"/>
      <c r="BK29" s="1184"/>
      <c r="BL29" s="1184"/>
      <c r="BM29" s="1184"/>
      <c r="BN29" s="1184"/>
      <c r="BO29" s="1184"/>
      <c r="BP29" s="1184"/>
      <c r="BQ29" s="1184"/>
      <c r="BR29" s="1184"/>
      <c r="BS29" s="1184"/>
      <c r="BT29" s="1184"/>
      <c r="BU29" s="1184"/>
      <c r="BV29" s="1184"/>
      <c r="BW29" s="1184"/>
      <c r="BX29" s="1184"/>
      <c r="BY29" s="1184"/>
      <c r="BZ29" s="208"/>
      <c r="CA29" s="208"/>
      <c r="CB29" s="208"/>
      <c r="CC29" s="208"/>
      <c r="CD29" s="211"/>
    </row>
    <row r="30" ht="18" customHeight="1">
      <c r="A30" s="1234">
        <v>4</v>
      </c>
      <c r="B30" s="1235">
        <f>HLOOKUP($G$21,$M$26:$AW$64,5,-1)</f>
        <v>0.09</v>
      </c>
      <c r="C30" s="1236"/>
      <c r="D30" s="1236"/>
      <c r="E30" s="1217"/>
      <c r="F30" s="1233">
        <f>ROUND($B30*$F$20,0)</f>
        <v>91149</v>
      </c>
      <c r="G30" s="1217"/>
      <c r="H30" s="1217"/>
      <c r="I30" s="1217"/>
      <c r="J30" s="1217"/>
      <c r="K30" s="1233"/>
      <c r="L30" s="1220"/>
      <c r="M30" s="1216"/>
      <c r="N30" s="1217"/>
      <c r="O30" s="1217"/>
      <c r="P30" s="1217"/>
      <c r="Q30" s="1239">
        <v>0.17</v>
      </c>
      <c r="R30" s="1239">
        <v>0.21</v>
      </c>
      <c r="S30" s="1239">
        <v>0.2</v>
      </c>
      <c r="T30" s="1239">
        <v>0.17</v>
      </c>
      <c r="U30" s="1239">
        <v>0.15</v>
      </c>
      <c r="V30" s="1239">
        <v>0.15</v>
      </c>
      <c r="W30" s="1239">
        <v>0.12</v>
      </c>
      <c r="X30" s="1239">
        <v>0.11</v>
      </c>
      <c r="Y30" s="1239">
        <v>0.09</v>
      </c>
      <c r="Z30" s="1239">
        <v>0.08</v>
      </c>
      <c r="AA30" s="1239">
        <v>0.08</v>
      </c>
      <c r="AB30" s="1239">
        <v>0.08</v>
      </c>
      <c r="AC30" s="1239">
        <v>0.06</v>
      </c>
      <c r="AD30" s="1239">
        <v>0.055</v>
      </c>
      <c r="AE30" s="1239">
        <v>0.051</v>
      </c>
      <c r="AF30" s="1239">
        <v>0.03889468421052631</v>
      </c>
      <c r="AG30" s="1239">
        <v>0.03094473421052631</v>
      </c>
      <c r="AH30" s="1239">
        <v>0.0231351627819549</v>
      </c>
      <c r="AI30" s="1239">
        <v>0.01745334460013671</v>
      </c>
      <c r="AJ30" s="1239">
        <v>0.01599348647656693</v>
      </c>
      <c r="AK30" s="1239">
        <v>0.01448510314323359</v>
      </c>
      <c r="AL30" s="1239">
        <v>0.01289467457180498</v>
      </c>
      <c r="AM30" s="1239">
        <v>0.01123030044593088</v>
      </c>
      <c r="AN30" s="1239">
        <v>0.009499215099715089</v>
      </c>
      <c r="AO30" s="1239">
        <v>0.008707548433048426</v>
      </c>
      <c r="AP30" s="1239">
        <v>0.007900617398565684</v>
      </c>
      <c r="AQ30" s="1239">
        <v>0.008</v>
      </c>
      <c r="AR30" s="1239">
        <v>0.007</v>
      </c>
      <c r="AS30" s="1239">
        <f>AR30-0.1%</f>
        <v>0.006</v>
      </c>
      <c r="AT30" s="1240">
        <f>AS30-0.1%</f>
        <v>0.005</v>
      </c>
      <c r="AU30" s="1240">
        <f>AT30-0.05%</f>
        <v>0.004500000000000001</v>
      </c>
      <c r="AV30" s="1240">
        <f>AU30-0.05%</f>
        <v>0.004</v>
      </c>
      <c r="AW30" s="1240">
        <f>AV30-0.05%</f>
        <v>0.0035</v>
      </c>
      <c r="AX30" s="708"/>
      <c r="AY30" s="708"/>
      <c r="AZ30" s="708"/>
      <c r="BA30" s="208"/>
      <c r="BB30" s="208"/>
      <c r="BC30" s="208"/>
      <c r="BD30" s="208"/>
      <c r="BE30" s="208"/>
      <c r="BF30" s="208"/>
      <c r="BG30" s="1184"/>
      <c r="BH30" s="1184"/>
      <c r="BI30" s="1184"/>
      <c r="BJ30" s="1184"/>
      <c r="BK30" s="1184"/>
      <c r="BL30" s="1184"/>
      <c r="BM30" s="1184"/>
      <c r="BN30" s="1184"/>
      <c r="BO30" s="1184"/>
      <c r="BP30" s="1184"/>
      <c r="BQ30" s="1184"/>
      <c r="BR30" s="1184"/>
      <c r="BS30" s="1184"/>
      <c r="BT30" s="1184"/>
      <c r="BU30" s="1184"/>
      <c r="BV30" s="1184"/>
      <c r="BW30" s="1184"/>
      <c r="BX30" s="1184"/>
      <c r="BY30" s="1184"/>
      <c r="BZ30" s="208"/>
      <c r="CA30" s="208"/>
      <c r="CB30" s="208"/>
      <c r="CC30" s="208"/>
      <c r="CD30" s="211"/>
    </row>
    <row r="31" ht="18" customHeight="1">
      <c r="A31" s="1234">
        <v>5</v>
      </c>
      <c r="B31" s="1235">
        <f>HLOOKUP($G$21,$M$26:$AW$64,6,-1)</f>
        <v>0.1</v>
      </c>
      <c r="C31" s="1236"/>
      <c r="D31" s="1236"/>
      <c r="E31" s="1217"/>
      <c r="F31" s="1233">
        <f>ROUND($B31*$F$20,0)</f>
        <v>101277</v>
      </c>
      <c r="G31" s="1217"/>
      <c r="H31" s="1217"/>
      <c r="I31" s="1217"/>
      <c r="J31" s="1217"/>
      <c r="K31" s="1233"/>
      <c r="L31" s="1220"/>
      <c r="M31" s="1216"/>
      <c r="N31" s="1217"/>
      <c r="O31" s="1217"/>
      <c r="P31" s="1217"/>
      <c r="Q31" s="1239"/>
      <c r="R31" s="1239">
        <v>0.13</v>
      </c>
      <c r="S31" s="1239">
        <v>0.17</v>
      </c>
      <c r="T31" s="1239">
        <v>0.16</v>
      </c>
      <c r="U31" s="1239">
        <v>0.15</v>
      </c>
      <c r="V31" s="1239">
        <v>0.16</v>
      </c>
      <c r="W31" s="1239">
        <v>0.12</v>
      </c>
      <c r="X31" s="1239">
        <v>0.11</v>
      </c>
      <c r="Y31" s="1239">
        <v>0.1</v>
      </c>
      <c r="Z31" s="1239">
        <v>0.09</v>
      </c>
      <c r="AA31" s="1239">
        <v>0.09</v>
      </c>
      <c r="AB31" s="1239">
        <v>0.08</v>
      </c>
      <c r="AC31" s="1239">
        <v>0.065</v>
      </c>
      <c r="AD31" s="1239">
        <v>0.06</v>
      </c>
      <c r="AE31" s="1239">
        <v>0.055</v>
      </c>
      <c r="AF31" s="1239">
        <v>0.04989468421052631</v>
      </c>
      <c r="AG31" s="1239">
        <v>0.03794473421052631</v>
      </c>
      <c r="AH31" s="1239">
        <v>0.0301351627819549</v>
      </c>
      <c r="AI31" s="1239">
        <v>0.0224533446001367</v>
      </c>
      <c r="AJ31" s="1239">
        <v>0.01688817068709324</v>
      </c>
      <c r="AK31" s="1239">
        <v>0.01553515314323358</v>
      </c>
      <c r="AL31" s="1239">
        <v>0.01408510314323358</v>
      </c>
      <c r="AM31" s="1239">
        <v>0.01254848226411269</v>
      </c>
      <c r="AN31" s="1239">
        <v>0.01093404118667162</v>
      </c>
      <c r="AO31" s="1239">
        <v>0.009249215099715082</v>
      </c>
      <c r="AP31" s="1239">
        <v>0.008500617398565674</v>
      </c>
      <c r="AQ31" s="1239">
        <v>0.008999999999999999</v>
      </c>
      <c r="AR31" s="1239">
        <v>0.008</v>
      </c>
      <c r="AS31" s="1239">
        <f>AR31-0.1%</f>
        <v>0.007</v>
      </c>
      <c r="AT31" s="1240">
        <f>AS31-0.1%</f>
        <v>0.006</v>
      </c>
      <c r="AU31" s="1240">
        <f>AT31-0.05%</f>
        <v>0.0055</v>
      </c>
      <c r="AV31" s="1240">
        <f>AU31-0.05%</f>
        <v>0.004999999999999999</v>
      </c>
      <c r="AW31" s="1240">
        <v>0.004</v>
      </c>
      <c r="AX31" s="708"/>
      <c r="AY31" s="708"/>
      <c r="AZ31" s="708"/>
      <c r="BA31" s="208"/>
      <c r="BB31" s="208"/>
      <c r="BC31" s="208"/>
      <c r="BD31" s="208"/>
      <c r="BE31" s="208"/>
      <c r="BF31" s="208"/>
      <c r="BG31" s="1184"/>
      <c r="BH31" s="1184"/>
      <c r="BI31" s="1184"/>
      <c r="BJ31" s="1184"/>
      <c r="BK31" s="1184"/>
      <c r="BL31" s="1184"/>
      <c r="BM31" s="1184"/>
      <c r="BN31" s="1184"/>
      <c r="BO31" s="1184"/>
      <c r="BP31" s="1184"/>
      <c r="BQ31" s="1184"/>
      <c r="BR31" s="1184"/>
      <c r="BS31" s="1184"/>
      <c r="BT31" s="1184"/>
      <c r="BU31" s="1184"/>
      <c r="BV31" s="1184"/>
      <c r="BW31" s="1184"/>
      <c r="BX31" s="1184"/>
      <c r="BY31" s="1184"/>
      <c r="BZ31" s="208"/>
      <c r="CA31" s="208"/>
      <c r="CB31" s="208"/>
      <c r="CC31" s="208"/>
      <c r="CD31" s="211"/>
    </row>
    <row r="32" ht="18" customHeight="1">
      <c r="A32" s="1234">
        <v>6</v>
      </c>
      <c r="B32" s="1235">
        <f>HLOOKUP($G$21,$M$26:$AW$64,7,-1)</f>
        <v>0.1</v>
      </c>
      <c r="C32" s="1236"/>
      <c r="D32" s="1236"/>
      <c r="E32" s="1217"/>
      <c r="F32" s="1233">
        <f>ROUND($B32*$F$20,0)</f>
        <v>101277</v>
      </c>
      <c r="G32" s="1217"/>
      <c r="H32" s="1217"/>
      <c r="I32" s="1217"/>
      <c r="J32" s="1217"/>
      <c r="K32" s="1233"/>
      <c r="L32" s="1220"/>
      <c r="M32" s="1216"/>
      <c r="N32" s="1217"/>
      <c r="O32" s="1217"/>
      <c r="P32" s="1217"/>
      <c r="Q32" s="1239"/>
      <c r="R32" s="1239"/>
      <c r="S32" s="1239">
        <v>0.16</v>
      </c>
      <c r="T32" s="1239">
        <v>0.14</v>
      </c>
      <c r="U32" s="1239">
        <v>0.14</v>
      </c>
      <c r="V32" s="1239">
        <v>0.15</v>
      </c>
      <c r="W32" s="1239">
        <v>0.12</v>
      </c>
      <c r="X32" s="1239">
        <v>0.11</v>
      </c>
      <c r="Y32" s="1239">
        <v>0.1</v>
      </c>
      <c r="Z32" s="1239">
        <v>0.09</v>
      </c>
      <c r="AA32" s="1239">
        <v>0.09</v>
      </c>
      <c r="AB32" s="1239">
        <v>0.09</v>
      </c>
      <c r="AC32" s="1239">
        <v>0.06</v>
      </c>
      <c r="AD32" s="1239">
        <v>0.06</v>
      </c>
      <c r="AE32" s="1239">
        <v>0.06</v>
      </c>
      <c r="AF32" s="1239">
        <v>0.05389468421052631</v>
      </c>
      <c r="AG32" s="1239">
        <v>0.0489447342105263</v>
      </c>
      <c r="AH32" s="1239">
        <v>0.0371351627819549</v>
      </c>
      <c r="AI32" s="1239">
        <v>0.02945334460013671</v>
      </c>
      <c r="AJ32" s="1239">
        <v>0.02188817068709323</v>
      </c>
      <c r="AK32" s="1239">
        <v>0.0164298373537599</v>
      </c>
      <c r="AL32" s="1239">
        <v>0.01513515314323357</v>
      </c>
      <c r="AM32" s="1239">
        <v>0.01373891083554129</v>
      </c>
      <c r="AN32" s="1239">
        <v>0.01225222300485343</v>
      </c>
      <c r="AO32" s="1239">
        <v>0.01068404118667161</v>
      </c>
      <c r="AP32" s="1239">
        <v>0.009042284065232329</v>
      </c>
      <c r="AQ32" s="1239">
        <v>0.008999999999999999</v>
      </c>
      <c r="AR32" s="1239">
        <v>0.008</v>
      </c>
      <c r="AS32" s="1239">
        <f>AR32-0.1%</f>
        <v>0.007</v>
      </c>
      <c r="AT32" s="1240">
        <f>AS32-0.1%</f>
        <v>0.006</v>
      </c>
      <c r="AU32" s="1240">
        <f>AT32-0.05%</f>
        <v>0.0055</v>
      </c>
      <c r="AV32" s="1240">
        <f>AU32-0.05%</f>
        <v>0.004999999999999999</v>
      </c>
      <c r="AW32" s="1240">
        <v>0.004</v>
      </c>
      <c r="AX32" s="708"/>
      <c r="AY32" s="708"/>
      <c r="AZ32" s="708"/>
      <c r="BA32" s="208"/>
      <c r="BB32" s="208"/>
      <c r="BC32" s="208"/>
      <c r="BD32" s="208"/>
      <c r="BE32" s="208"/>
      <c r="BF32" s="208"/>
      <c r="BG32" s="1184"/>
      <c r="BH32" s="1184"/>
      <c r="BI32" s="1184"/>
      <c r="BJ32" s="1184"/>
      <c r="BK32" s="1184"/>
      <c r="BL32" s="1184"/>
      <c r="BM32" s="1184"/>
      <c r="BN32" s="1184"/>
      <c r="BO32" s="1184"/>
      <c r="BP32" s="1184"/>
      <c r="BQ32" s="1184"/>
      <c r="BR32" s="1184"/>
      <c r="BS32" s="1184"/>
      <c r="BT32" s="1184"/>
      <c r="BU32" s="1184"/>
      <c r="BV32" s="1184"/>
      <c r="BW32" s="1184"/>
      <c r="BX32" s="1184"/>
      <c r="BY32" s="1184"/>
      <c r="BZ32" s="208"/>
      <c r="CA32" s="208"/>
      <c r="CB32" s="208"/>
      <c r="CC32" s="208"/>
      <c r="CD32" s="211"/>
    </row>
    <row r="33" ht="18" customHeight="1">
      <c r="A33" s="1234">
        <v>7</v>
      </c>
      <c r="B33" s="1235">
        <f>HLOOKUP($G$21,$M$26:$AW$64,8,-1)</f>
        <v>0.1</v>
      </c>
      <c r="C33" s="1236"/>
      <c r="D33" s="1236"/>
      <c r="E33" s="1217"/>
      <c r="F33" s="1233">
        <f>ROUND($B33*$F$20,0)</f>
        <v>101277</v>
      </c>
      <c r="G33" s="1217"/>
      <c r="H33" s="1217"/>
      <c r="I33" s="1217"/>
      <c r="J33" s="1217"/>
      <c r="K33" s="1233"/>
      <c r="L33" s="1220"/>
      <c r="M33" s="1216"/>
      <c r="N33" s="1217"/>
      <c r="O33" s="1217"/>
      <c r="P33" s="1217"/>
      <c r="Q33" s="1239"/>
      <c r="R33" s="1239"/>
      <c r="S33" s="1239"/>
      <c r="T33" s="1239">
        <v>0.12</v>
      </c>
      <c r="U33" s="1239">
        <v>0.12</v>
      </c>
      <c r="V33" s="1239">
        <v>0.11</v>
      </c>
      <c r="W33" s="1239">
        <v>0.12</v>
      </c>
      <c r="X33" s="1239">
        <v>0.11</v>
      </c>
      <c r="Y33" s="1239">
        <v>0.1</v>
      </c>
      <c r="Z33" s="1239">
        <v>0.09</v>
      </c>
      <c r="AA33" s="1239">
        <v>0.09</v>
      </c>
      <c r="AB33" s="1239">
        <v>0.09</v>
      </c>
      <c r="AC33" s="1239">
        <v>0.07000000000000001</v>
      </c>
      <c r="AD33" s="1239">
        <v>0.07000000000000001</v>
      </c>
      <c r="AE33" s="1239">
        <v>0.065</v>
      </c>
      <c r="AF33" s="1239">
        <v>0.05889468421052631</v>
      </c>
      <c r="AG33" s="1239">
        <v>0.0529447342105263</v>
      </c>
      <c r="AH33" s="1239">
        <v>0.0481351627819549</v>
      </c>
      <c r="AI33" s="1239">
        <v>0.03645334460013671</v>
      </c>
      <c r="AJ33" s="1239">
        <v>0.02888817068709324</v>
      </c>
      <c r="AK33" s="1239">
        <v>0.02142983735375989</v>
      </c>
      <c r="AL33" s="1239">
        <v>0.01602983735375988</v>
      </c>
      <c r="AM33" s="1239">
        <v>0.01478896083554127</v>
      </c>
      <c r="AN33" s="1239">
        <v>0.01344265157628203</v>
      </c>
      <c r="AO33" s="1239">
        <v>0.01200222300485342</v>
      </c>
      <c r="AP33" s="1239">
        <v>0.01047711015218886</v>
      </c>
      <c r="AQ33" s="1239">
        <v>0.008999999999999999</v>
      </c>
      <c r="AR33" s="1239">
        <v>0.008</v>
      </c>
      <c r="AS33" s="1239">
        <f>AR33-0.1%</f>
        <v>0.007</v>
      </c>
      <c r="AT33" s="1240">
        <f>AS33-0.1%</f>
        <v>0.006</v>
      </c>
      <c r="AU33" s="1240">
        <f>AT33-0.05%</f>
        <v>0.0055</v>
      </c>
      <c r="AV33" s="1240">
        <f>AU33-0.05%</f>
        <v>0.004999999999999999</v>
      </c>
      <c r="AW33" s="1240">
        <v>0.004</v>
      </c>
      <c r="AX33" s="708"/>
      <c r="AY33" s="708"/>
      <c r="AZ33" s="708"/>
      <c r="BA33" s="208"/>
      <c r="BB33" s="208"/>
      <c r="BC33" s="208"/>
      <c r="BD33" s="208"/>
      <c r="BE33" s="208"/>
      <c r="BF33" s="208"/>
      <c r="BG33" s="1184"/>
      <c r="BH33" s="1184"/>
      <c r="BI33" s="1184"/>
      <c r="BJ33" s="1184"/>
      <c r="BK33" s="1184"/>
      <c r="BL33" s="1184"/>
      <c r="BM33" s="1184"/>
      <c r="BN33" s="1184"/>
      <c r="BO33" s="1184"/>
      <c r="BP33" s="1184"/>
      <c r="BQ33" s="1184"/>
      <c r="BR33" s="1184"/>
      <c r="BS33" s="1184"/>
      <c r="BT33" s="1184"/>
      <c r="BU33" s="1184"/>
      <c r="BV33" s="1184"/>
      <c r="BW33" s="1184"/>
      <c r="BX33" s="1184"/>
      <c r="BY33" s="1184"/>
      <c r="BZ33" s="208"/>
      <c r="CA33" s="208"/>
      <c r="CB33" s="208"/>
      <c r="CC33" s="208"/>
      <c r="CD33" s="211"/>
    </row>
    <row r="34" ht="18" customHeight="1">
      <c r="A34" s="1234">
        <v>8</v>
      </c>
      <c r="B34" s="1235">
        <f>HLOOKUP($G$21,$M$26:$AW$64,9,-1)</f>
        <v>0.1</v>
      </c>
      <c r="C34" s="1236"/>
      <c r="D34" s="1236"/>
      <c r="E34" s="1217"/>
      <c r="F34" s="1233">
        <f>ROUND($B34*$F$20,0)</f>
        <v>101277</v>
      </c>
      <c r="G34" s="1217"/>
      <c r="H34" s="1217"/>
      <c r="I34" s="1217"/>
      <c r="J34" s="1217"/>
      <c r="K34" s="1233"/>
      <c r="L34" s="1220"/>
      <c r="M34" s="1216"/>
      <c r="N34" s="1217"/>
      <c r="O34" s="1217"/>
      <c r="P34" s="1217"/>
      <c r="Q34" s="1239"/>
      <c r="R34" s="1239"/>
      <c r="S34" s="1239"/>
      <c r="T34" s="1239"/>
      <c r="U34" s="1239">
        <v>0.09</v>
      </c>
      <c r="V34" s="1239">
        <v>0.07000000000000001</v>
      </c>
      <c r="W34" s="1239">
        <v>0.11</v>
      </c>
      <c r="X34" s="1239">
        <v>0.11</v>
      </c>
      <c r="Y34" s="1239">
        <v>0.1</v>
      </c>
      <c r="Z34" s="1239">
        <v>0.09</v>
      </c>
      <c r="AA34" s="1239">
        <v>0.09</v>
      </c>
      <c r="AB34" s="1239">
        <v>0.09</v>
      </c>
      <c r="AC34" s="1239">
        <v>0.075</v>
      </c>
      <c r="AD34" s="1239">
        <v>0.07000000000000001</v>
      </c>
      <c r="AE34" s="1239">
        <v>0.067</v>
      </c>
      <c r="AF34" s="1239">
        <v>0.06389468421052631</v>
      </c>
      <c r="AG34" s="1239">
        <v>0.0579447342105263</v>
      </c>
      <c r="AH34" s="1239">
        <v>0.0521351627819549</v>
      </c>
      <c r="AI34" s="1239">
        <v>0.04745334460013671</v>
      </c>
      <c r="AJ34" s="1239">
        <v>0.03588817068709324</v>
      </c>
      <c r="AK34" s="1239">
        <v>0.0284298373537599</v>
      </c>
      <c r="AL34" s="1239">
        <v>0.02102983735375988</v>
      </c>
      <c r="AM34" s="1239">
        <v>0.01568364504606758</v>
      </c>
      <c r="AN34" s="1239">
        <v>0.01449270157628202</v>
      </c>
      <c r="AO34" s="1239">
        <v>0.01319265157628202</v>
      </c>
      <c r="AP34" s="1239">
        <v>0.01179529197037067</v>
      </c>
      <c r="AQ34" s="1239">
        <v>0.01</v>
      </c>
      <c r="AR34" s="1239">
        <v>0.008999999999999999</v>
      </c>
      <c r="AS34" s="1239">
        <f>AR34-0.1%</f>
        <v>0.008</v>
      </c>
      <c r="AT34" s="1240">
        <f>AS34-0.1%</f>
        <v>0.007</v>
      </c>
      <c r="AU34" s="1240">
        <f>AT34-0.05%</f>
        <v>0.006500000000000001</v>
      </c>
      <c r="AV34" s="1240">
        <v>0.005</v>
      </c>
      <c r="AW34" s="1240">
        <v>0.004</v>
      </c>
      <c r="AX34" s="708"/>
      <c r="AY34" s="708"/>
      <c r="AZ34" s="708"/>
      <c r="BA34" s="208"/>
      <c r="BB34" s="208"/>
      <c r="BC34" s="208"/>
      <c r="BD34" s="208"/>
      <c r="BE34" s="208"/>
      <c r="BF34" s="208"/>
      <c r="BG34" s="1184"/>
      <c r="BH34" s="1184"/>
      <c r="BI34" s="1184"/>
      <c r="BJ34" s="1184"/>
      <c r="BK34" s="1184"/>
      <c r="BL34" s="1184"/>
      <c r="BM34" s="1184"/>
      <c r="BN34" s="1184"/>
      <c r="BO34" s="1184"/>
      <c r="BP34" s="1184"/>
      <c r="BQ34" s="1184"/>
      <c r="BR34" s="1184"/>
      <c r="BS34" s="1184"/>
      <c r="BT34" s="1184"/>
      <c r="BU34" s="1184"/>
      <c r="BV34" s="1184"/>
      <c r="BW34" s="1184"/>
      <c r="BX34" s="1184"/>
      <c r="BY34" s="1184"/>
      <c r="BZ34" s="208"/>
      <c r="CA34" s="208"/>
      <c r="CB34" s="208"/>
      <c r="CC34" s="208"/>
      <c r="CD34" s="211"/>
    </row>
    <row r="35" ht="18" customHeight="1">
      <c r="A35" s="1234">
        <v>9</v>
      </c>
      <c r="B35" s="1235">
        <f>HLOOKUP($G$21,$M$26:$AW$64,10,-1)</f>
        <v>0.09</v>
      </c>
      <c r="C35" s="1236"/>
      <c r="D35" s="1236"/>
      <c r="E35" s="1217"/>
      <c r="F35" s="1233">
        <f>ROUND($B35*$F$20,0)</f>
        <v>91149</v>
      </c>
      <c r="G35" s="1217"/>
      <c r="H35" s="1217"/>
      <c r="I35" s="1217"/>
      <c r="J35" s="1217"/>
      <c r="K35" s="1233"/>
      <c r="L35" s="1220"/>
      <c r="M35" s="1216"/>
      <c r="N35" s="1217"/>
      <c r="O35" s="1217"/>
      <c r="P35" s="1217"/>
      <c r="Q35" s="1239"/>
      <c r="R35" s="1239"/>
      <c r="S35" s="1239"/>
      <c r="T35" s="1239"/>
      <c r="U35" s="1239"/>
      <c r="V35" s="1239">
        <v>0.07000000000000001</v>
      </c>
      <c r="W35" s="1239">
        <v>0.06</v>
      </c>
      <c r="X35" s="1239">
        <v>0.06</v>
      </c>
      <c r="Y35" s="1239">
        <v>0.09</v>
      </c>
      <c r="Z35" s="1239">
        <v>0.09</v>
      </c>
      <c r="AA35" s="1239">
        <v>0.09</v>
      </c>
      <c r="AB35" s="1239">
        <v>0.09</v>
      </c>
      <c r="AC35" s="1239">
        <v>0.075</v>
      </c>
      <c r="AD35" s="1239">
        <v>0.07000000000000001</v>
      </c>
      <c r="AE35" s="1239">
        <v>0.06900000000000001</v>
      </c>
      <c r="AF35" s="1239">
        <v>0.06589468421052631</v>
      </c>
      <c r="AG35" s="1239">
        <v>0.06294473421052631</v>
      </c>
      <c r="AH35" s="1239">
        <v>0.0571351627819549</v>
      </c>
      <c r="AI35" s="1239">
        <v>0.05145334460013671</v>
      </c>
      <c r="AJ35" s="1239">
        <v>0.04688817068709324</v>
      </c>
      <c r="AK35" s="1239">
        <v>0.0354298373537599</v>
      </c>
      <c r="AL35" s="1239">
        <v>0.02802983735375988</v>
      </c>
      <c r="AM35" s="1239">
        <v>0.02068364504606758</v>
      </c>
      <c r="AN35" s="1239">
        <v>0.01538738578680833</v>
      </c>
      <c r="AO35" s="1239">
        <v>0.01424270157628201</v>
      </c>
      <c r="AP35" s="1239">
        <v>0.01298572054179927</v>
      </c>
      <c r="AQ35" s="1239">
        <v>0.011</v>
      </c>
      <c r="AR35" s="1239">
        <v>0.01</v>
      </c>
      <c r="AS35" s="1239">
        <f>AR35-0.1%</f>
        <v>0.009000000000000001</v>
      </c>
      <c r="AT35" s="1240">
        <f>AS35-0.1%</f>
        <v>0.008</v>
      </c>
      <c r="AU35" s="1240">
        <v>0.007</v>
      </c>
      <c r="AV35" s="1240">
        <v>0.006</v>
      </c>
      <c r="AW35" s="1240">
        <v>0.006</v>
      </c>
      <c r="AX35" s="708"/>
      <c r="AY35" s="708"/>
      <c r="AZ35" s="708"/>
      <c r="BA35" s="208"/>
      <c r="BB35" s="208"/>
      <c r="BC35" s="208"/>
      <c r="BD35" s="208"/>
      <c r="BE35" s="208"/>
      <c r="BF35" s="208"/>
      <c r="BG35" s="1184"/>
      <c r="BH35" s="1184"/>
      <c r="BI35" s="1184"/>
      <c r="BJ35" s="1184"/>
      <c r="BK35" s="1184"/>
      <c r="BL35" s="1184"/>
      <c r="BM35" s="1184"/>
      <c r="BN35" s="1184"/>
      <c r="BO35" s="1184"/>
      <c r="BP35" s="1184"/>
      <c r="BQ35" s="1184"/>
      <c r="BR35" s="1184"/>
      <c r="BS35" s="1184"/>
      <c r="BT35" s="1184"/>
      <c r="BU35" s="1184"/>
      <c r="BV35" s="1184"/>
      <c r="BW35" s="1184"/>
      <c r="BX35" s="1184"/>
      <c r="BY35" s="1184"/>
      <c r="BZ35" s="208"/>
      <c r="CA35" s="208"/>
      <c r="CB35" s="208"/>
      <c r="CC35" s="208"/>
      <c r="CD35" s="211"/>
    </row>
    <row r="36" ht="18" customHeight="1">
      <c r="A36" s="1234">
        <v>10</v>
      </c>
      <c r="B36" s="1235">
        <f>HLOOKUP($G$21,$M$26:$AW$64,11,-1)</f>
        <v>0.08</v>
      </c>
      <c r="C36" s="1236"/>
      <c r="D36" s="1236"/>
      <c r="E36" s="1217"/>
      <c r="F36" s="1233">
        <f>ROUND($B36*$F$20,0)</f>
        <v>81022</v>
      </c>
      <c r="G36" s="1217"/>
      <c r="H36" s="1217"/>
      <c r="I36" s="1217"/>
      <c r="J36" s="1217"/>
      <c r="K36" s="1233"/>
      <c r="L36" s="1220"/>
      <c r="M36" s="1216"/>
      <c r="N36" s="1217"/>
      <c r="O36" s="1217"/>
      <c r="P36" s="1217"/>
      <c r="Q36" s="1239"/>
      <c r="R36" s="1239"/>
      <c r="S36" s="1239"/>
      <c r="T36" s="1239"/>
      <c r="U36" s="1239"/>
      <c r="V36" s="1239"/>
      <c r="W36" s="1239">
        <v>0.1</v>
      </c>
      <c r="X36" s="1239">
        <v>0.08</v>
      </c>
      <c r="Y36" s="1239">
        <v>0.08</v>
      </c>
      <c r="Z36" s="1239">
        <v>0.08</v>
      </c>
      <c r="AA36" s="1239">
        <v>0.08</v>
      </c>
      <c r="AB36" s="1239">
        <v>0.07000000000000001</v>
      </c>
      <c r="AC36" s="1239">
        <v>0.075</v>
      </c>
      <c r="AD36" s="1239">
        <v>0.07000000000000001</v>
      </c>
      <c r="AE36" s="1239">
        <v>0.06900000000000001</v>
      </c>
      <c r="AF36" s="1239">
        <v>0.06789468421052632</v>
      </c>
      <c r="AG36" s="1239">
        <v>0.06494473421052631</v>
      </c>
      <c r="AH36" s="1239">
        <v>0.0621351627819549</v>
      </c>
      <c r="AI36" s="1239">
        <v>0.05645334460013671</v>
      </c>
      <c r="AJ36" s="1239">
        <v>0.05088817068709324</v>
      </c>
      <c r="AK36" s="1239">
        <v>0.04642983735375989</v>
      </c>
      <c r="AL36" s="1239">
        <v>0.03502983735375988</v>
      </c>
      <c r="AM36" s="1239">
        <v>0.02768364504606759</v>
      </c>
      <c r="AN36" s="1239">
        <v>0.02038738578680832</v>
      </c>
      <c r="AO36" s="1239">
        <v>0.01513738578680832</v>
      </c>
      <c r="AP36" s="1239">
        <v>0.01403577054179926</v>
      </c>
      <c r="AQ36" s="1239">
        <v>0.012</v>
      </c>
      <c r="AR36" s="1239">
        <v>0.011</v>
      </c>
      <c r="AS36" s="1239">
        <f>AR36-0.1%</f>
        <v>0.009999999999999998</v>
      </c>
      <c r="AT36" s="1240">
        <f>AS36-0.1%</f>
        <v>0.008999999999999998</v>
      </c>
      <c r="AU36" s="1240">
        <v>0.008</v>
      </c>
      <c r="AV36" s="1240">
        <v>0.007</v>
      </c>
      <c r="AW36" s="1240">
        <v>0.007</v>
      </c>
      <c r="AX36" s="708"/>
      <c r="AY36" s="708"/>
      <c r="AZ36" s="708"/>
      <c r="BA36" s="208"/>
      <c r="BB36" s="208"/>
      <c r="BC36" s="208"/>
      <c r="BD36" s="208"/>
      <c r="BE36" s="208"/>
      <c r="BF36" s="208"/>
      <c r="BG36" s="1184"/>
      <c r="BH36" s="1184"/>
      <c r="BI36" s="1184"/>
      <c r="BJ36" s="1184"/>
      <c r="BK36" s="1184"/>
      <c r="BL36" s="1184"/>
      <c r="BM36" s="1184"/>
      <c r="BN36" s="1184"/>
      <c r="BO36" s="1184"/>
      <c r="BP36" s="1184"/>
      <c r="BQ36" s="1184"/>
      <c r="BR36" s="1184"/>
      <c r="BS36" s="1184"/>
      <c r="BT36" s="1184"/>
      <c r="BU36" s="1184"/>
      <c r="BV36" s="1184"/>
      <c r="BW36" s="1184"/>
      <c r="BX36" s="1184"/>
      <c r="BY36" s="1184"/>
      <c r="BZ36" s="208"/>
      <c r="CA36" s="208"/>
      <c r="CB36" s="208"/>
      <c r="CC36" s="208"/>
      <c r="CD36" s="211"/>
    </row>
    <row r="37" ht="18" customHeight="1">
      <c r="A37" s="1234">
        <v>11</v>
      </c>
      <c r="B37" s="1235">
        <f>HLOOKUP($G$21,$M$26:$AW$64,12,-1)</f>
        <v>0.07000000000000001</v>
      </c>
      <c r="C37" s="1236"/>
      <c r="D37" s="1236"/>
      <c r="E37" s="1217"/>
      <c r="F37" s="1233">
        <f>ROUND($B37*$F$20,0)</f>
        <v>70894</v>
      </c>
      <c r="G37" s="1217"/>
      <c r="H37" s="1217"/>
      <c r="I37" s="1217"/>
      <c r="J37" s="1217"/>
      <c r="K37" s="1233"/>
      <c r="L37" s="1220"/>
      <c r="M37" s="1216"/>
      <c r="N37" s="1217"/>
      <c r="O37" s="1217"/>
      <c r="P37" s="1217"/>
      <c r="Q37" s="1239"/>
      <c r="R37" s="1239"/>
      <c r="S37" s="1239"/>
      <c r="T37" s="1239"/>
      <c r="U37" s="1239"/>
      <c r="V37" s="1239"/>
      <c r="W37" s="1239"/>
      <c r="X37" s="1239">
        <v>0.06</v>
      </c>
      <c r="Y37" s="1239">
        <v>0.07000000000000001</v>
      </c>
      <c r="Z37" s="1239">
        <v>0.07000000000000001</v>
      </c>
      <c r="AA37" s="1239">
        <v>0.07000000000000001</v>
      </c>
      <c r="AB37" s="1239">
        <v>0.07000000000000001</v>
      </c>
      <c r="AC37" s="1239">
        <v>0.075</v>
      </c>
      <c r="AD37" s="1239">
        <v>0.07000000000000001</v>
      </c>
      <c r="AE37" s="1239">
        <v>0.06900000000000001</v>
      </c>
      <c r="AF37" s="1239">
        <v>0.06789468421052632</v>
      </c>
      <c r="AG37" s="1239">
        <v>0.06694473421052631</v>
      </c>
      <c r="AH37" s="1239">
        <v>0.0641351627819549</v>
      </c>
      <c r="AI37" s="1239">
        <v>0.06145334460013671</v>
      </c>
      <c r="AJ37" s="1239">
        <v>0.05588817068709324</v>
      </c>
      <c r="AK37" s="1239">
        <v>0.05042983735375989</v>
      </c>
      <c r="AL37" s="1239">
        <v>0.04602983735375988</v>
      </c>
      <c r="AM37" s="1239">
        <v>0.03468364504606759</v>
      </c>
      <c r="AN37" s="1239">
        <v>0.02738738578680833</v>
      </c>
      <c r="AO37" s="1239">
        <v>0.02013738578680831</v>
      </c>
      <c r="AP37" s="1239">
        <v>0.01493045475232556</v>
      </c>
      <c r="AQ37" s="1239">
        <v>0.013</v>
      </c>
      <c r="AR37" s="1239">
        <v>0.012</v>
      </c>
      <c r="AS37" s="1239">
        <f>AR37-0.1%</f>
        <v>0.011</v>
      </c>
      <c r="AT37" s="1240">
        <f>AS37-0.1%</f>
        <v>0.009999999999999998</v>
      </c>
      <c r="AU37" s="1240">
        <v>0.008999999999999999</v>
      </c>
      <c r="AV37" s="1240">
        <v>0.008</v>
      </c>
      <c r="AW37" s="1240">
        <v>0.008</v>
      </c>
      <c r="AX37" s="708"/>
      <c r="AY37" s="708"/>
      <c r="AZ37" s="708"/>
      <c r="BA37" s="208"/>
      <c r="BB37" s="208"/>
      <c r="BC37" s="208"/>
      <c r="BD37" s="208"/>
      <c r="BE37" s="208"/>
      <c r="BF37" s="208"/>
      <c r="BG37" s="1184"/>
      <c r="BH37" s="1184"/>
      <c r="BI37" s="1184"/>
      <c r="BJ37" s="1184"/>
      <c r="BK37" s="1184"/>
      <c r="BL37" s="1184"/>
      <c r="BM37" s="1184"/>
      <c r="BN37" s="1184"/>
      <c r="BO37" s="1184"/>
      <c r="BP37" s="1184"/>
      <c r="BQ37" s="1184"/>
      <c r="BR37" s="1184"/>
      <c r="BS37" s="1184"/>
      <c r="BT37" s="1184"/>
      <c r="BU37" s="1184"/>
      <c r="BV37" s="1184"/>
      <c r="BW37" s="1184"/>
      <c r="BX37" s="1184"/>
      <c r="BY37" s="1184"/>
      <c r="BZ37" s="208"/>
      <c r="CA37" s="208"/>
      <c r="CB37" s="208"/>
      <c r="CC37" s="208"/>
      <c r="CD37" s="211"/>
    </row>
    <row r="38" ht="18" customHeight="1">
      <c r="A38" s="1234">
        <v>12</v>
      </c>
      <c r="B38" s="1235">
        <f>HLOOKUP($G$21,$M$26:$AW$64,13,-1)</f>
        <v>0.09</v>
      </c>
      <c r="C38" s="1236"/>
      <c r="D38" s="1236"/>
      <c r="E38" s="1217"/>
      <c r="F38" s="1233">
        <f>ROUND($B38*$F$20,0)</f>
        <v>91149</v>
      </c>
      <c r="G38" s="1217"/>
      <c r="H38" s="1217"/>
      <c r="I38" s="1217"/>
      <c r="J38" s="1217"/>
      <c r="K38" s="1233"/>
      <c r="L38" s="1220"/>
      <c r="M38" s="1216"/>
      <c r="N38" s="1217"/>
      <c r="O38" s="1217"/>
      <c r="P38" s="1217"/>
      <c r="Q38" s="1239"/>
      <c r="R38" s="1239"/>
      <c r="S38" s="1239"/>
      <c r="T38" s="1239"/>
      <c r="U38" s="1239"/>
      <c r="V38" s="1239"/>
      <c r="W38" s="1239"/>
      <c r="X38" s="1239"/>
      <c r="Y38" s="1239">
        <v>0.09</v>
      </c>
      <c r="Z38" s="1239">
        <v>0.055</v>
      </c>
      <c r="AA38" s="1239">
        <v>0.055</v>
      </c>
      <c r="AB38" s="1239">
        <v>0.065</v>
      </c>
      <c r="AC38" s="1239">
        <v>0.07000000000000001</v>
      </c>
      <c r="AD38" s="1239">
        <v>0.07000000000000001</v>
      </c>
      <c r="AE38" s="1239">
        <v>0.066</v>
      </c>
      <c r="AF38" s="1239">
        <v>0.06789468421052632</v>
      </c>
      <c r="AG38" s="1239">
        <v>0.06694473421052631</v>
      </c>
      <c r="AH38" s="1239">
        <v>0.0661351627819549</v>
      </c>
      <c r="AI38" s="1239">
        <v>0.06345334460013671</v>
      </c>
      <c r="AJ38" s="1239">
        <v>0.06088817068709324</v>
      </c>
      <c r="AK38" s="1239">
        <v>0.05542983735375989</v>
      </c>
      <c r="AL38" s="1239">
        <v>0.05002983735375988</v>
      </c>
      <c r="AM38" s="1239">
        <v>0.04568364504606758</v>
      </c>
      <c r="AN38" s="1239">
        <v>0.03438738578680833</v>
      </c>
      <c r="AO38" s="1239">
        <v>0.02713738578680832</v>
      </c>
      <c r="AP38" s="1239">
        <v>0.01993045475232556</v>
      </c>
      <c r="AQ38" s="1239">
        <v>0.018</v>
      </c>
      <c r="AR38" s="1239">
        <v>0.017</v>
      </c>
      <c r="AS38" s="1239">
        <f>AR38-0.1%</f>
        <v>0.016</v>
      </c>
      <c r="AT38" s="1240">
        <f>AS38-0.1%</f>
        <v>0.015</v>
      </c>
      <c r="AU38" s="1240">
        <v>0.014</v>
      </c>
      <c r="AV38" s="1240">
        <v>0.013</v>
      </c>
      <c r="AW38" s="1240">
        <v>0.012</v>
      </c>
      <c r="AX38" s="708"/>
      <c r="AY38" s="708"/>
      <c r="AZ38" s="708"/>
      <c r="BA38" s="208"/>
      <c r="BB38" s="208"/>
      <c r="BC38" s="208"/>
      <c r="BD38" s="208"/>
      <c r="BE38" s="208"/>
      <c r="BF38" s="208"/>
      <c r="BG38" s="1184"/>
      <c r="BH38" s="1184"/>
      <c r="BI38" s="1184"/>
      <c r="BJ38" s="1184"/>
      <c r="BK38" s="1184"/>
      <c r="BL38" s="1184"/>
      <c r="BM38" s="1184"/>
      <c r="BN38" s="1184"/>
      <c r="BO38" s="1184"/>
      <c r="BP38" s="1184"/>
      <c r="BQ38" s="1184"/>
      <c r="BR38" s="1184"/>
      <c r="BS38" s="1184"/>
      <c r="BT38" s="1184"/>
      <c r="BU38" s="1184"/>
      <c r="BV38" s="1184"/>
      <c r="BW38" s="1184"/>
      <c r="BX38" s="1184"/>
      <c r="BY38" s="1184"/>
      <c r="BZ38" s="208"/>
      <c r="CA38" s="208"/>
      <c r="CB38" s="208"/>
      <c r="CC38" s="208"/>
      <c r="CD38" s="211"/>
    </row>
    <row r="39" ht="18" customHeight="1">
      <c r="A39" s="1234">
        <v>13</v>
      </c>
      <c r="B39" s="1235">
        <f>HLOOKUP($G$21,$M$26:$AW$64,14,-1)</f>
        <v>0</v>
      </c>
      <c r="C39" s="1236"/>
      <c r="D39" s="1236"/>
      <c r="E39" s="1217"/>
      <c r="F39" s="1233">
        <f>ROUND($B39*$F$20,0)</f>
        <v>0</v>
      </c>
      <c r="G39" s="1217"/>
      <c r="H39" s="1217"/>
      <c r="I39" s="1217"/>
      <c r="J39" s="1217"/>
      <c r="K39" s="1233"/>
      <c r="L39" s="1220"/>
      <c r="M39" s="1216"/>
      <c r="N39" s="1217"/>
      <c r="O39" s="1217"/>
      <c r="P39" s="1217"/>
      <c r="Q39" s="1239"/>
      <c r="R39" s="1239"/>
      <c r="S39" s="1239"/>
      <c r="T39" s="1239"/>
      <c r="U39" s="1239"/>
      <c r="V39" s="1239"/>
      <c r="W39" s="1239"/>
      <c r="X39" s="1239"/>
      <c r="Y39" s="1239"/>
      <c r="Z39" s="1239">
        <v>0.08500000000000001</v>
      </c>
      <c r="AA39" s="1239">
        <v>0.05</v>
      </c>
      <c r="AB39" s="1239">
        <v>0.06</v>
      </c>
      <c r="AC39" s="1239">
        <v>0.065</v>
      </c>
      <c r="AD39" s="1239">
        <v>0.06</v>
      </c>
      <c r="AE39" s="1239">
        <v>0.061</v>
      </c>
      <c r="AF39" s="1239">
        <v>0.06489468421052631</v>
      </c>
      <c r="AG39" s="1239">
        <v>0.06694473421052631</v>
      </c>
      <c r="AH39" s="1239">
        <v>0.0661351627819549</v>
      </c>
      <c r="AI39" s="1239">
        <v>0.06545334460013671</v>
      </c>
      <c r="AJ39" s="1239">
        <v>0.06288817068709325</v>
      </c>
      <c r="AK39" s="1239">
        <v>0.0604298373537599</v>
      </c>
      <c r="AL39" s="1239">
        <v>0.05502983735375988</v>
      </c>
      <c r="AM39" s="1239">
        <v>0.04968364504606759</v>
      </c>
      <c r="AN39" s="1239">
        <v>0.04538738578680832</v>
      </c>
      <c r="AO39" s="1239">
        <v>0.03413738578680832</v>
      </c>
      <c r="AP39" s="1239">
        <v>0.02693045475232557</v>
      </c>
      <c r="AQ39" s="1239">
        <v>0.025</v>
      </c>
      <c r="AR39" s="1239">
        <v>0.024</v>
      </c>
      <c r="AS39" s="1239">
        <f>AR39-0.1%</f>
        <v>0.023</v>
      </c>
      <c r="AT39" s="1240">
        <f>AS39-0.1%</f>
        <v>0.022</v>
      </c>
      <c r="AU39" s="1240">
        <v>0.021</v>
      </c>
      <c r="AV39" s="1240">
        <v>0.02</v>
      </c>
      <c r="AW39" s="1240">
        <v>0.02</v>
      </c>
      <c r="AX39" s="708"/>
      <c r="AY39" s="708"/>
      <c r="AZ39" s="708"/>
      <c r="BA39" s="208"/>
      <c r="BB39" s="208"/>
      <c r="BC39" s="208"/>
      <c r="BD39" s="208"/>
      <c r="BE39" s="208"/>
      <c r="BF39" s="208"/>
      <c r="BG39" s="1184"/>
      <c r="BH39" s="1184"/>
      <c r="BI39" s="1184"/>
      <c r="BJ39" s="1184"/>
      <c r="BK39" s="1184"/>
      <c r="BL39" s="1184"/>
      <c r="BM39" s="1184"/>
      <c r="BN39" s="1184"/>
      <c r="BO39" s="1184"/>
      <c r="BP39" s="1184"/>
      <c r="BQ39" s="1184"/>
      <c r="BR39" s="1184"/>
      <c r="BS39" s="1184"/>
      <c r="BT39" s="1184"/>
      <c r="BU39" s="1184"/>
      <c r="BV39" s="1184"/>
      <c r="BW39" s="1184"/>
      <c r="BX39" s="1184"/>
      <c r="BY39" s="1184"/>
      <c r="BZ39" s="208"/>
      <c r="CA39" s="208"/>
      <c r="CB39" s="208"/>
      <c r="CC39" s="208"/>
      <c r="CD39" s="211"/>
    </row>
    <row r="40" ht="18" customHeight="1">
      <c r="A40" s="1234">
        <v>14</v>
      </c>
      <c r="B40" s="1235">
        <f>HLOOKUP($G$21,$M$26:$AW$64,15,-1)</f>
        <v>0</v>
      </c>
      <c r="C40" s="1217"/>
      <c r="D40" s="1217"/>
      <c r="E40" s="1217"/>
      <c r="F40" s="1233">
        <f>ROUND($B40*$F$20,0)</f>
        <v>0</v>
      </c>
      <c r="G40" s="1217"/>
      <c r="H40" s="1217"/>
      <c r="I40" s="1217"/>
      <c r="J40" s="1217"/>
      <c r="K40" s="1233"/>
      <c r="L40" s="1220"/>
      <c r="M40" s="1216"/>
      <c r="N40" s="1217"/>
      <c r="O40" s="1217"/>
      <c r="P40" s="1217"/>
      <c r="Q40" s="1239"/>
      <c r="R40" s="1239"/>
      <c r="S40" s="1239"/>
      <c r="T40" s="1239"/>
      <c r="U40" s="1239"/>
      <c r="V40" s="1239"/>
      <c r="W40" s="1239"/>
      <c r="X40" s="1239"/>
      <c r="Y40" s="1239"/>
      <c r="Z40" s="1239"/>
      <c r="AA40" s="1239">
        <v>0.045</v>
      </c>
      <c r="AB40" s="1239">
        <v>0.035</v>
      </c>
      <c r="AC40" s="1239">
        <v>0.06</v>
      </c>
      <c r="AD40" s="1239">
        <v>0.06</v>
      </c>
      <c r="AE40" s="1239">
        <v>0.057</v>
      </c>
      <c r="AF40" s="1239">
        <v>0.05989468421052631</v>
      </c>
      <c r="AG40" s="1239">
        <v>0.06394473421052631</v>
      </c>
      <c r="AH40" s="1239">
        <v>0.0661351627819549</v>
      </c>
      <c r="AI40" s="1239">
        <v>0.06545334460013671</v>
      </c>
      <c r="AJ40" s="1239">
        <v>0.06488817068709325</v>
      </c>
      <c r="AK40" s="1239">
        <v>0.06242983735375991</v>
      </c>
      <c r="AL40" s="1239">
        <v>0.06002983735375989</v>
      </c>
      <c r="AM40" s="1239">
        <v>0.05468364504606758</v>
      </c>
      <c r="AN40" s="1239">
        <v>0.04938738578680833</v>
      </c>
      <c r="AO40" s="1239">
        <v>0.04513738578680832</v>
      </c>
      <c r="AP40" s="1239">
        <v>0.03393045475232557</v>
      </c>
      <c r="AQ40" s="1239">
        <v>0.034</v>
      </c>
      <c r="AR40" s="1239">
        <v>0.033</v>
      </c>
      <c r="AS40" s="1239">
        <f>AR40-0.1%</f>
        <v>0.032</v>
      </c>
      <c r="AT40" s="1240">
        <f>AS40-0.1%</f>
        <v>0.031</v>
      </c>
      <c r="AU40" s="1240">
        <v>0.03</v>
      </c>
      <c r="AV40" s="1240">
        <v>0.029</v>
      </c>
      <c r="AW40" s="1240">
        <v>0.026</v>
      </c>
      <c r="AX40" s="708"/>
      <c r="AY40" s="708"/>
      <c r="AZ40" s="708"/>
      <c r="BA40" s="208"/>
      <c r="BB40" s="208"/>
      <c r="BC40" s="208"/>
      <c r="BD40" s="208"/>
      <c r="BE40" s="208"/>
      <c r="BF40" s="208"/>
      <c r="BG40" s="1184"/>
      <c r="BH40" s="1184"/>
      <c r="BI40" s="1184"/>
      <c r="BJ40" s="1184"/>
      <c r="BK40" s="1184"/>
      <c r="BL40" s="1184"/>
      <c r="BM40" s="1184"/>
      <c r="BN40" s="1184"/>
      <c r="BO40" s="1184"/>
      <c r="BP40" s="1184"/>
      <c r="BQ40" s="1184"/>
      <c r="BR40" s="1184"/>
      <c r="BS40" s="1184"/>
      <c r="BT40" s="1184"/>
      <c r="BU40" s="1184"/>
      <c r="BV40" s="1184"/>
      <c r="BW40" s="1184"/>
      <c r="BX40" s="1184"/>
      <c r="BY40" s="1184"/>
      <c r="BZ40" s="208"/>
      <c r="CA40" s="208"/>
      <c r="CB40" s="208"/>
      <c r="CC40" s="208"/>
      <c r="CD40" s="211"/>
    </row>
    <row r="41" ht="18" customHeight="1">
      <c r="A41" s="1234">
        <v>15</v>
      </c>
      <c r="B41" s="1235">
        <f>HLOOKUP($G$21,$M$26:$AW$64,16,-1)</f>
        <v>0</v>
      </c>
      <c r="C41" s="1217"/>
      <c r="D41" s="1217"/>
      <c r="E41" s="1217"/>
      <c r="F41" s="1233">
        <f>ROUND($B41*$F$20,0)</f>
        <v>0</v>
      </c>
      <c r="G41" s="1217"/>
      <c r="H41" s="1217"/>
      <c r="I41" s="1217"/>
      <c r="J41" s="1217"/>
      <c r="K41" s="1233"/>
      <c r="L41" s="1220"/>
      <c r="M41" s="1216"/>
      <c r="N41" s="1217"/>
      <c r="O41" s="1217"/>
      <c r="P41" s="1217"/>
      <c r="Q41" s="1239"/>
      <c r="R41" s="1239"/>
      <c r="S41" s="1239"/>
      <c r="T41" s="1239"/>
      <c r="U41" s="1239"/>
      <c r="V41" s="1239"/>
      <c r="W41" s="1239"/>
      <c r="X41" s="1239"/>
      <c r="Y41" s="1239"/>
      <c r="Z41" s="1239"/>
      <c r="AA41" s="1239"/>
      <c r="AB41" s="1239">
        <v>0.02</v>
      </c>
      <c r="AC41" s="1239">
        <v>0.06</v>
      </c>
      <c r="AD41" s="1239">
        <v>0.055</v>
      </c>
      <c r="AE41" s="1239">
        <v>0.053</v>
      </c>
      <c r="AF41" s="1239">
        <v>0.05589468421052631</v>
      </c>
      <c r="AG41" s="1239">
        <v>0.0589447342105263</v>
      </c>
      <c r="AH41" s="1239">
        <v>0.0631351627819549</v>
      </c>
      <c r="AI41" s="1239">
        <v>0.06545334460013671</v>
      </c>
      <c r="AJ41" s="1239">
        <v>0.06488817068709325</v>
      </c>
      <c r="AK41" s="1239">
        <v>0.06442983735375991</v>
      </c>
      <c r="AL41" s="1239">
        <v>0.06202983735375989</v>
      </c>
      <c r="AM41" s="1239">
        <v>0.05968364504606759</v>
      </c>
      <c r="AN41" s="1239">
        <v>0.05438738578680832</v>
      </c>
      <c r="AO41" s="1239">
        <v>0.04913738578680832</v>
      </c>
      <c r="AP41" s="1239">
        <v>0.04493045475232556</v>
      </c>
      <c r="AQ41" s="1239">
        <v>0.044</v>
      </c>
      <c r="AR41" s="1239">
        <v>0.043</v>
      </c>
      <c r="AS41" s="1239">
        <f>AR41-0.1%</f>
        <v>0.042</v>
      </c>
      <c r="AT41" s="1240">
        <f>AS41-0.1%</f>
        <v>0.04099999999999999</v>
      </c>
      <c r="AU41" s="1240">
        <v>0.04</v>
      </c>
      <c r="AV41" s="1240">
        <v>0.039</v>
      </c>
      <c r="AW41" s="1240">
        <v>0.037</v>
      </c>
      <c r="AX41" s="708"/>
      <c r="AY41" s="708"/>
      <c r="AZ41" s="708"/>
      <c r="BA41" s="208"/>
      <c r="BB41" s="208"/>
      <c r="BC41" s="208"/>
      <c r="BD41" s="208"/>
      <c r="BE41" s="208"/>
      <c r="BF41" s="208"/>
      <c r="BG41" s="1184"/>
      <c r="BH41" s="1184"/>
      <c r="BI41" s="1184"/>
      <c r="BJ41" s="1184"/>
      <c r="BK41" s="1184"/>
      <c r="BL41" s="1184"/>
      <c r="BM41" s="1184"/>
      <c r="BN41" s="1184"/>
      <c r="BO41" s="1184"/>
      <c r="BP41" s="1184"/>
      <c r="BQ41" s="1184"/>
      <c r="BR41" s="1184"/>
      <c r="BS41" s="1184"/>
      <c r="BT41" s="1184"/>
      <c r="BU41" s="1184"/>
      <c r="BV41" s="1184"/>
      <c r="BW41" s="1184"/>
      <c r="BX41" s="1184"/>
      <c r="BY41" s="1184"/>
      <c r="BZ41" s="208"/>
      <c r="CA41" s="208"/>
      <c r="CB41" s="208"/>
      <c r="CC41" s="208"/>
      <c r="CD41" s="211"/>
    </row>
    <row r="42" ht="18" customHeight="1">
      <c r="A42" s="1234">
        <v>16</v>
      </c>
      <c r="B42" s="1235">
        <f>HLOOKUP($G$21,$M$26:$AW$64,17,-1)</f>
        <v>0</v>
      </c>
      <c r="C42" s="1217"/>
      <c r="D42" s="1217"/>
      <c r="E42" s="1217"/>
      <c r="F42" s="1233">
        <f>ROUND($B42*$F$20,0)</f>
        <v>0</v>
      </c>
      <c r="G42" s="1217"/>
      <c r="H42" s="1217"/>
      <c r="I42" s="1217"/>
      <c r="J42" s="1217"/>
      <c r="K42" s="1233"/>
      <c r="L42" s="1220"/>
      <c r="M42" s="1216"/>
      <c r="N42" s="1217"/>
      <c r="O42" s="1217"/>
      <c r="P42" s="1217"/>
      <c r="Q42" s="1239"/>
      <c r="R42" s="1239"/>
      <c r="S42" s="1239"/>
      <c r="T42" s="1239"/>
      <c r="U42" s="1239"/>
      <c r="V42" s="1239"/>
      <c r="W42" s="1239"/>
      <c r="X42" s="1239"/>
      <c r="Y42" s="1239"/>
      <c r="Z42" s="1239"/>
      <c r="AA42" s="1239"/>
      <c r="AB42" s="1239"/>
      <c r="AC42" s="1239">
        <v>0.075</v>
      </c>
      <c r="AD42" s="1239">
        <v>0.05</v>
      </c>
      <c r="AE42" s="1239">
        <v>0.043</v>
      </c>
      <c r="AF42" s="1239">
        <v>0.05189468421052631</v>
      </c>
      <c r="AG42" s="1239">
        <v>0.05494473421052631</v>
      </c>
      <c r="AH42" s="1239">
        <v>0.0581351627819549</v>
      </c>
      <c r="AI42" s="1239">
        <v>0.06245334460013671</v>
      </c>
      <c r="AJ42" s="1239">
        <v>0.06488817068709325</v>
      </c>
      <c r="AK42" s="1239">
        <v>0.06442983735375991</v>
      </c>
      <c r="AL42" s="1239">
        <v>0.0640298373537599</v>
      </c>
      <c r="AM42" s="1239">
        <v>0.0616836450460676</v>
      </c>
      <c r="AN42" s="1239">
        <v>0.05938738578680833</v>
      </c>
      <c r="AO42" s="1239">
        <v>0.05413738578680832</v>
      </c>
      <c r="AP42" s="1239">
        <v>0.04893045475232557</v>
      </c>
      <c r="AQ42" s="1239">
        <v>0.048</v>
      </c>
      <c r="AR42" s="1239">
        <v>0.047</v>
      </c>
      <c r="AS42" s="1239">
        <f>AR42-0.1%</f>
        <v>0.046</v>
      </c>
      <c r="AT42" s="1240">
        <f>AS42-0.1%</f>
        <v>0.045</v>
      </c>
      <c r="AU42" s="1240">
        <v>0.044</v>
      </c>
      <c r="AV42" s="1240">
        <v>0.043</v>
      </c>
      <c r="AW42" s="1240">
        <v>0.041</v>
      </c>
      <c r="AX42" s="708"/>
      <c r="AY42" s="708"/>
      <c r="AZ42" s="708"/>
      <c r="BA42" s="208"/>
      <c r="BB42" s="208"/>
      <c r="BC42" s="208"/>
      <c r="BD42" s="208"/>
      <c r="BE42" s="208"/>
      <c r="BF42" s="208"/>
      <c r="BG42" s="1184"/>
      <c r="BH42" s="1184"/>
      <c r="BI42" s="1184"/>
      <c r="BJ42" s="1184"/>
      <c r="BK42" s="1184"/>
      <c r="BL42" s="1184"/>
      <c r="BM42" s="1184"/>
      <c r="BN42" s="1184"/>
      <c r="BO42" s="1184"/>
      <c r="BP42" s="1184"/>
      <c r="BQ42" s="1184"/>
      <c r="BR42" s="1184"/>
      <c r="BS42" s="1184"/>
      <c r="BT42" s="1184"/>
      <c r="BU42" s="1184"/>
      <c r="BV42" s="1184"/>
      <c r="BW42" s="1184"/>
      <c r="BX42" s="1184"/>
      <c r="BY42" s="1184"/>
      <c r="BZ42" s="208"/>
      <c r="CA42" s="208"/>
      <c r="CB42" s="208"/>
      <c r="CC42" s="208"/>
      <c r="CD42" s="211"/>
    </row>
    <row r="43" ht="18" customHeight="1">
      <c r="A43" s="1234">
        <v>17</v>
      </c>
      <c r="B43" s="1235">
        <f>HLOOKUP($G$21,$M$26:$AW$64,18,-1)</f>
        <v>0</v>
      </c>
      <c r="C43" s="1217"/>
      <c r="D43" s="1217"/>
      <c r="E43" s="1217"/>
      <c r="F43" s="1233">
        <f>ROUND($B43*$F$20,0)</f>
        <v>0</v>
      </c>
      <c r="G43" s="1217"/>
      <c r="H43" s="1217"/>
      <c r="I43" s="1217"/>
      <c r="J43" s="1217"/>
      <c r="K43" s="1233"/>
      <c r="L43" s="1220"/>
      <c r="M43" s="1216"/>
      <c r="N43" s="1217"/>
      <c r="O43" s="1217"/>
      <c r="P43" s="1217"/>
      <c r="Q43" s="1239"/>
      <c r="R43" s="1239"/>
      <c r="S43" s="1239"/>
      <c r="T43" s="1239"/>
      <c r="U43" s="1239"/>
      <c r="V43" s="1239"/>
      <c r="W43" s="1239"/>
      <c r="X43" s="1239"/>
      <c r="Y43" s="1239"/>
      <c r="Z43" s="1239"/>
      <c r="AA43" s="1239"/>
      <c r="AB43" s="1239"/>
      <c r="AC43" s="1239"/>
      <c r="AD43" s="1239">
        <v>0.075</v>
      </c>
      <c r="AE43" s="1239">
        <v>0.045</v>
      </c>
      <c r="AF43" s="1239">
        <v>0.04189468421052631</v>
      </c>
      <c r="AG43" s="1239">
        <v>0.0509447342105263</v>
      </c>
      <c r="AH43" s="1239">
        <v>0.0541351627819549</v>
      </c>
      <c r="AI43" s="1239">
        <v>0.05745334460013671</v>
      </c>
      <c r="AJ43" s="1239">
        <v>0.06188817068709324</v>
      </c>
      <c r="AK43" s="1239">
        <v>0.06442983735375991</v>
      </c>
      <c r="AL43" s="1239">
        <v>0.0640298373537599</v>
      </c>
      <c r="AM43" s="1239">
        <v>0.06368364504606761</v>
      </c>
      <c r="AN43" s="1239">
        <v>0.06138738578680834</v>
      </c>
      <c r="AO43" s="1239">
        <v>0.05913738578680832</v>
      </c>
      <c r="AP43" s="1239">
        <v>0.05393045475232557</v>
      </c>
      <c r="AQ43" s="1239">
        <v>0.053</v>
      </c>
      <c r="AR43" s="1239">
        <v>0.052</v>
      </c>
      <c r="AS43" s="1239">
        <f>AR43-0.1%</f>
        <v>0.051</v>
      </c>
      <c r="AT43" s="1240">
        <f>AS43-0.1%</f>
        <v>0.05</v>
      </c>
      <c r="AU43" s="1240">
        <v>0.049</v>
      </c>
      <c r="AV43" s="1240">
        <v>0.048</v>
      </c>
      <c r="AW43" s="1240">
        <v>0.047</v>
      </c>
      <c r="AX43" s="708"/>
      <c r="AY43" s="708"/>
      <c r="AZ43" s="708"/>
      <c r="BA43" s="208"/>
      <c r="BB43" s="208"/>
      <c r="BC43" s="208"/>
      <c r="BD43" s="208"/>
      <c r="BE43" s="208"/>
      <c r="BF43" s="208"/>
      <c r="BG43" s="1184"/>
      <c r="BH43" s="1184"/>
      <c r="BI43" s="1184"/>
      <c r="BJ43" s="1184"/>
      <c r="BK43" s="1184"/>
      <c r="BL43" s="1184"/>
      <c r="BM43" s="1184"/>
      <c r="BN43" s="1184"/>
      <c r="BO43" s="1184"/>
      <c r="BP43" s="1184"/>
      <c r="BQ43" s="1184"/>
      <c r="BR43" s="1184"/>
      <c r="BS43" s="1184"/>
      <c r="BT43" s="1184"/>
      <c r="BU43" s="1184"/>
      <c r="BV43" s="1184"/>
      <c r="BW43" s="1184"/>
      <c r="BX43" s="1184"/>
      <c r="BY43" s="1184"/>
      <c r="BZ43" s="208"/>
      <c r="CA43" s="208"/>
      <c r="CB43" s="208"/>
      <c r="CC43" s="208"/>
      <c r="CD43" s="211"/>
    </row>
    <row r="44" ht="18" customHeight="1">
      <c r="A44" s="1234">
        <v>18</v>
      </c>
      <c r="B44" s="1235">
        <f>HLOOKUP($G$21,$M$26:$AW$64,19,-1)</f>
        <v>0</v>
      </c>
      <c r="C44" s="1217"/>
      <c r="D44" s="1217"/>
      <c r="E44" s="1217"/>
      <c r="F44" s="1233">
        <f>ROUND($B44*$F$20,0)</f>
        <v>0</v>
      </c>
      <c r="G44" s="1217"/>
      <c r="H44" s="1217"/>
      <c r="I44" s="1217"/>
      <c r="J44" s="1217"/>
      <c r="K44" s="1233"/>
      <c r="L44" s="1220"/>
      <c r="M44" s="1216"/>
      <c r="N44" s="1217"/>
      <c r="O44" s="1217"/>
      <c r="P44" s="1217"/>
      <c r="Q44" s="1239"/>
      <c r="R44" s="1239"/>
      <c r="S44" s="1239"/>
      <c r="T44" s="1239"/>
      <c r="U44" s="1239"/>
      <c r="V44" s="1239"/>
      <c r="W44" s="1239"/>
      <c r="X44" s="1239"/>
      <c r="Y44" s="1239"/>
      <c r="Z44" s="1239"/>
      <c r="AA44" s="1239"/>
      <c r="AB44" s="1239"/>
      <c r="AC44" s="1239"/>
      <c r="AD44" s="1239"/>
      <c r="AE44" s="1239">
        <v>0.07099999999999999</v>
      </c>
      <c r="AF44" s="1239">
        <v>0.04389468421052631</v>
      </c>
      <c r="AG44" s="1239">
        <v>0.0409447342105263</v>
      </c>
      <c r="AH44" s="1239">
        <v>0.0501351627819549</v>
      </c>
      <c r="AI44" s="1239">
        <v>0.05345334460013671</v>
      </c>
      <c r="AJ44" s="1239">
        <v>0.05688817068709324</v>
      </c>
      <c r="AK44" s="1239">
        <v>0.06142983735375989</v>
      </c>
      <c r="AL44" s="1239">
        <v>0.0640298373537599</v>
      </c>
      <c r="AM44" s="1239">
        <v>0.06368364504606761</v>
      </c>
      <c r="AN44" s="1239">
        <v>0.06338738578680835</v>
      </c>
      <c r="AO44" s="1239">
        <v>0.06113738578680833</v>
      </c>
      <c r="AP44" s="1239">
        <v>0.05893045475232557</v>
      </c>
      <c r="AQ44" s="1239">
        <v>0.056</v>
      </c>
      <c r="AR44" s="1239">
        <v>0.055</v>
      </c>
      <c r="AS44" s="1239">
        <f>AR44-0.1%</f>
        <v>0.054</v>
      </c>
      <c r="AT44" s="1240">
        <f>AS44-0.1%</f>
        <v>0.053</v>
      </c>
      <c r="AU44" s="1240">
        <v>0.052</v>
      </c>
      <c r="AV44" s="1240">
        <v>0.051</v>
      </c>
      <c r="AW44" s="1240">
        <v>0.05</v>
      </c>
      <c r="AX44" s="708"/>
      <c r="AY44" s="708"/>
      <c r="AZ44" s="708"/>
      <c r="BA44" s="208"/>
      <c r="BB44" s="208"/>
      <c r="BC44" s="208"/>
      <c r="BD44" s="208"/>
      <c r="BE44" s="208"/>
      <c r="BF44" s="208"/>
      <c r="BG44" s="1184"/>
      <c r="BH44" s="1184"/>
      <c r="BI44" s="1184"/>
      <c r="BJ44" s="1184"/>
      <c r="BK44" s="1184"/>
      <c r="BL44" s="1184"/>
      <c r="BM44" s="1184"/>
      <c r="BN44" s="1184"/>
      <c r="BO44" s="1184"/>
      <c r="BP44" s="1184"/>
      <c r="BQ44" s="1184"/>
      <c r="BR44" s="1184"/>
      <c r="BS44" s="1184"/>
      <c r="BT44" s="1184"/>
      <c r="BU44" s="1184"/>
      <c r="BV44" s="1184"/>
      <c r="BW44" s="1184"/>
      <c r="BX44" s="1184"/>
      <c r="BY44" s="1184"/>
      <c r="BZ44" s="208"/>
      <c r="CA44" s="208"/>
      <c r="CB44" s="208"/>
      <c r="CC44" s="208"/>
      <c r="CD44" s="211"/>
    </row>
    <row r="45" ht="18" customHeight="1">
      <c r="A45" s="1234">
        <v>19</v>
      </c>
      <c r="B45" s="1235">
        <f>HLOOKUP($G$21,$M$26:$AW$64,20,-1)</f>
        <v>0</v>
      </c>
      <c r="C45" s="1217"/>
      <c r="D45" s="1217"/>
      <c r="E45" s="1217"/>
      <c r="F45" s="1233">
        <f>ROUND($B45*$F$20,0)</f>
        <v>0</v>
      </c>
      <c r="G45" s="1217"/>
      <c r="H45" s="1217"/>
      <c r="I45" s="1217"/>
      <c r="J45" s="1217"/>
      <c r="K45" s="1233"/>
      <c r="L45" s="1220"/>
      <c r="M45" s="1216"/>
      <c r="N45" s="1217"/>
      <c r="O45" s="1217"/>
      <c r="P45" s="1217"/>
      <c r="Q45" s="1239"/>
      <c r="R45" s="1239"/>
      <c r="S45" s="1239"/>
      <c r="T45" s="1239"/>
      <c r="U45" s="1239"/>
      <c r="V45" s="1239"/>
      <c r="W45" s="1239"/>
      <c r="X45" s="1239"/>
      <c r="Y45" s="1239"/>
      <c r="Z45" s="1239"/>
      <c r="AA45" s="1239"/>
      <c r="AB45" s="1239"/>
      <c r="AC45" s="1239"/>
      <c r="AD45" s="1239"/>
      <c r="AE45" s="1239"/>
      <c r="AF45" s="1239">
        <v>0.0698946842105263</v>
      </c>
      <c r="AG45" s="1239">
        <v>0.0429447342105263</v>
      </c>
      <c r="AH45" s="1239">
        <v>0.0401351627819549</v>
      </c>
      <c r="AI45" s="1239">
        <v>0.04945334460013671</v>
      </c>
      <c r="AJ45" s="1239">
        <v>0.05288817068709324</v>
      </c>
      <c r="AK45" s="1239">
        <v>0.05642983735375989</v>
      </c>
      <c r="AL45" s="1239">
        <v>0.06102983735375988</v>
      </c>
      <c r="AM45" s="1239">
        <v>0.06368364504606761</v>
      </c>
      <c r="AN45" s="1239">
        <v>0.06338738578680835</v>
      </c>
      <c r="AO45" s="1239">
        <v>0.06313738578680833</v>
      </c>
      <c r="AP45" s="1239">
        <v>0.06093045475232558</v>
      </c>
      <c r="AQ45" s="1239">
        <v>0.059</v>
      </c>
      <c r="AR45" s="1239">
        <v>0.058</v>
      </c>
      <c r="AS45" s="1239">
        <f>AR45-0.1%</f>
        <v>0.057</v>
      </c>
      <c r="AT45" s="1240">
        <f>AS45-0.1%</f>
        <v>0.05599999999999999</v>
      </c>
      <c r="AU45" s="1240">
        <v>0.055</v>
      </c>
      <c r="AV45" s="1240">
        <v>0.054</v>
      </c>
      <c r="AW45" s="1240">
        <v>0.052</v>
      </c>
      <c r="AX45" s="708"/>
      <c r="AY45" s="708"/>
      <c r="AZ45" s="708"/>
      <c r="BA45" s="208"/>
      <c r="BB45" s="208"/>
      <c r="BC45" s="208"/>
      <c r="BD45" s="208"/>
      <c r="BE45" s="208"/>
      <c r="BF45" s="208"/>
      <c r="BG45" s="1184"/>
      <c r="BH45" s="1184"/>
      <c r="BI45" s="1184"/>
      <c r="BJ45" s="1184"/>
      <c r="BK45" s="1184"/>
      <c r="BL45" s="1184"/>
      <c r="BM45" s="1184"/>
      <c r="BN45" s="1184"/>
      <c r="BO45" s="1184"/>
      <c r="BP45" s="1184"/>
      <c r="BQ45" s="1184"/>
      <c r="BR45" s="1184"/>
      <c r="BS45" s="1184"/>
      <c r="BT45" s="1184"/>
      <c r="BU45" s="1184"/>
      <c r="BV45" s="1184"/>
      <c r="BW45" s="1184"/>
      <c r="BX45" s="1184"/>
      <c r="BY45" s="1184"/>
      <c r="BZ45" s="208"/>
      <c r="CA45" s="208"/>
      <c r="CB45" s="208"/>
      <c r="CC45" s="208"/>
      <c r="CD45" s="211"/>
    </row>
    <row r="46" ht="18" customHeight="1">
      <c r="A46" s="1234">
        <v>20</v>
      </c>
      <c r="B46" s="1235">
        <f>HLOOKUP($G$21,$M$26:$AW$64,21,-1)</f>
        <v>0</v>
      </c>
      <c r="C46" s="1217"/>
      <c r="D46" s="1217"/>
      <c r="E46" s="1217"/>
      <c r="F46" s="1233">
        <f>ROUND($B46*$F$20,0)</f>
        <v>0</v>
      </c>
      <c r="G46" s="1217"/>
      <c r="H46" s="1217"/>
      <c r="I46" s="1217"/>
      <c r="J46" s="1217"/>
      <c r="K46" s="1233"/>
      <c r="L46" s="1220"/>
      <c r="M46" s="1216"/>
      <c r="N46" s="1217"/>
      <c r="O46" s="1217"/>
      <c r="P46" s="1217"/>
      <c r="Q46" s="1239"/>
      <c r="R46" s="1239"/>
      <c r="S46" s="1239"/>
      <c r="T46" s="1239"/>
      <c r="U46" s="1239"/>
      <c r="V46" s="1239"/>
      <c r="W46" s="1239"/>
      <c r="X46" s="1239"/>
      <c r="Y46" s="1239"/>
      <c r="Z46" s="1239"/>
      <c r="AA46" s="1239"/>
      <c r="AB46" s="1239"/>
      <c r="AC46" s="1239"/>
      <c r="AD46" s="1239"/>
      <c r="AE46" s="1239"/>
      <c r="AF46" s="1217"/>
      <c r="AG46" s="1239">
        <v>0.0689447342105263</v>
      </c>
      <c r="AH46" s="1239">
        <v>0.0421351627819549</v>
      </c>
      <c r="AI46" s="1239">
        <v>0.03945334460013671</v>
      </c>
      <c r="AJ46" s="1239">
        <v>0.04888817068709324</v>
      </c>
      <c r="AK46" s="1239">
        <v>0.0524298373537599</v>
      </c>
      <c r="AL46" s="1239">
        <v>0.05602983735375988</v>
      </c>
      <c r="AM46" s="1239">
        <v>0.06068364504606758</v>
      </c>
      <c r="AN46" s="1239">
        <v>0.06338738578680835</v>
      </c>
      <c r="AO46" s="1239">
        <v>0.06313738578680833</v>
      </c>
      <c r="AP46" s="1239">
        <v>0.06293045475232557</v>
      </c>
      <c r="AQ46" s="1239">
        <v>0.061</v>
      </c>
      <c r="AR46" s="1239">
        <v>0.06</v>
      </c>
      <c r="AS46" s="1239">
        <f>AR46-0.1%</f>
        <v>0.059</v>
      </c>
      <c r="AT46" s="1240">
        <v>0.059</v>
      </c>
      <c r="AU46" s="1240">
        <v>0.058</v>
      </c>
      <c r="AV46" s="1240">
        <v>0.057</v>
      </c>
      <c r="AW46" s="1240">
        <v>0.055</v>
      </c>
      <c r="AX46" s="708"/>
      <c r="AY46" s="708"/>
      <c r="AZ46" s="708"/>
      <c r="BA46" s="208"/>
      <c r="BB46" s="208"/>
      <c r="BC46" s="208"/>
      <c r="BD46" s="208"/>
      <c r="BE46" s="208"/>
      <c r="BF46" s="208"/>
      <c r="BG46" s="1184"/>
      <c r="BH46" s="1184"/>
      <c r="BI46" s="1184"/>
      <c r="BJ46" s="1184"/>
      <c r="BK46" s="1184"/>
      <c r="BL46" s="1184"/>
      <c r="BM46" s="1184"/>
      <c r="BN46" s="1184"/>
      <c r="BO46" s="1184"/>
      <c r="BP46" s="1184"/>
      <c r="BQ46" s="1184"/>
      <c r="BR46" s="1184"/>
      <c r="BS46" s="1184"/>
      <c r="BT46" s="1184"/>
      <c r="BU46" s="1184"/>
      <c r="BV46" s="1184"/>
      <c r="BW46" s="1184"/>
      <c r="BX46" s="1184"/>
      <c r="BY46" s="1184"/>
      <c r="BZ46" s="208"/>
      <c r="CA46" s="208"/>
      <c r="CB46" s="208"/>
      <c r="CC46" s="208"/>
      <c r="CD46" s="211"/>
    </row>
    <row r="47" ht="18" customHeight="1">
      <c r="A47" s="1234">
        <v>21</v>
      </c>
      <c r="B47" s="1235">
        <f>HLOOKUP($G$21,$M$26:$AW$64,22,-1)</f>
        <v>0</v>
      </c>
      <c r="C47" s="1217"/>
      <c r="D47" s="1217"/>
      <c r="E47" s="1217"/>
      <c r="F47" s="1233">
        <f>ROUND($B47*$F$20,0)</f>
        <v>0</v>
      </c>
      <c r="G47" s="1217"/>
      <c r="H47" s="1217"/>
      <c r="I47" s="1217"/>
      <c r="J47" s="1217"/>
      <c r="K47" s="1233"/>
      <c r="L47" s="1220"/>
      <c r="M47" s="1216"/>
      <c r="N47" s="1217"/>
      <c r="O47" s="1217"/>
      <c r="P47" s="1217"/>
      <c r="Q47" s="1239"/>
      <c r="R47" s="1239"/>
      <c r="S47" s="1239"/>
      <c r="T47" s="1239"/>
      <c r="U47" s="1239"/>
      <c r="V47" s="1239"/>
      <c r="W47" s="1239"/>
      <c r="X47" s="1239"/>
      <c r="Y47" s="1239"/>
      <c r="Z47" s="1239"/>
      <c r="AA47" s="1239"/>
      <c r="AB47" s="1239"/>
      <c r="AC47" s="1239"/>
      <c r="AD47" s="1239"/>
      <c r="AE47" s="1239"/>
      <c r="AF47" s="1217"/>
      <c r="AG47" s="1217"/>
      <c r="AH47" s="1239">
        <v>0.06813516278195489</v>
      </c>
      <c r="AI47" s="1239">
        <v>0.04145334460013671</v>
      </c>
      <c r="AJ47" s="1239">
        <v>0.03888817068709324</v>
      </c>
      <c r="AK47" s="1239">
        <v>0.04842983735375989</v>
      </c>
      <c r="AL47" s="1239">
        <v>0.05202983735375988</v>
      </c>
      <c r="AM47" s="1239">
        <v>0.05568364504606758</v>
      </c>
      <c r="AN47" s="1239">
        <v>0.06038738578680832</v>
      </c>
      <c r="AO47" s="1239">
        <v>0.06313738578680833</v>
      </c>
      <c r="AP47" s="1239">
        <v>0.06293045475232557</v>
      </c>
      <c r="AQ47" s="1239">
        <v>0.061</v>
      </c>
      <c r="AR47" s="1239">
        <v>0.06</v>
      </c>
      <c r="AS47" s="1239">
        <f>AR47-0.1%</f>
        <v>0.059</v>
      </c>
      <c r="AT47" s="1240">
        <v>0.059</v>
      </c>
      <c r="AU47" s="1240">
        <v>0.058</v>
      </c>
      <c r="AV47" s="1240">
        <v>0.057</v>
      </c>
      <c r="AW47" s="1240">
        <v>0.055</v>
      </c>
      <c r="AX47" s="708"/>
      <c r="AY47" s="708"/>
      <c r="AZ47" s="708"/>
      <c r="BA47" s="208"/>
      <c r="BB47" s="208"/>
      <c r="BC47" s="208"/>
      <c r="BD47" s="208"/>
      <c r="BE47" s="208"/>
      <c r="BF47" s="208"/>
      <c r="BG47" s="1184"/>
      <c r="BH47" s="1184"/>
      <c r="BI47" s="1184"/>
      <c r="BJ47" s="1184"/>
      <c r="BK47" s="1184"/>
      <c r="BL47" s="1184"/>
      <c r="BM47" s="1184"/>
      <c r="BN47" s="1184"/>
      <c r="BO47" s="1184"/>
      <c r="BP47" s="1184"/>
      <c r="BQ47" s="1184"/>
      <c r="BR47" s="1184"/>
      <c r="BS47" s="1184"/>
      <c r="BT47" s="1184"/>
      <c r="BU47" s="1184"/>
      <c r="BV47" s="1184"/>
      <c r="BW47" s="1184"/>
      <c r="BX47" s="1184"/>
      <c r="BY47" s="1184"/>
      <c r="BZ47" s="208"/>
      <c r="CA47" s="208"/>
      <c r="CB47" s="208"/>
      <c r="CC47" s="208"/>
      <c r="CD47" s="211"/>
    </row>
    <row r="48" ht="18" customHeight="1">
      <c r="A48" s="1234">
        <v>22</v>
      </c>
      <c r="B48" s="1235">
        <f>HLOOKUP($G$21,$M$26:$AW$64,23,-1)</f>
        <v>0</v>
      </c>
      <c r="C48" s="1217"/>
      <c r="D48" s="1217"/>
      <c r="E48" s="1217"/>
      <c r="F48" s="1233">
        <f>ROUND($B48*$F$20,0)</f>
        <v>0</v>
      </c>
      <c r="G48" s="1217"/>
      <c r="H48" s="1217"/>
      <c r="I48" s="1217"/>
      <c r="J48" s="1217"/>
      <c r="K48" s="1233"/>
      <c r="L48" s="1220"/>
      <c r="M48" s="1216"/>
      <c r="N48" s="1217"/>
      <c r="O48" s="1217"/>
      <c r="P48" s="1217"/>
      <c r="Q48" s="1239"/>
      <c r="R48" s="1239"/>
      <c r="S48" s="1239"/>
      <c r="T48" s="1239"/>
      <c r="U48" s="1239"/>
      <c r="V48" s="1239"/>
      <c r="W48" s="1239"/>
      <c r="X48" s="1239"/>
      <c r="Y48" s="1239"/>
      <c r="Z48" s="1239"/>
      <c r="AA48" s="1239"/>
      <c r="AB48" s="1239"/>
      <c r="AC48" s="1239"/>
      <c r="AD48" s="1239"/>
      <c r="AE48" s="1239"/>
      <c r="AF48" s="1217"/>
      <c r="AG48" s="1217"/>
      <c r="AH48" s="1239"/>
      <c r="AI48" s="1239">
        <v>0.0674533446001367</v>
      </c>
      <c r="AJ48" s="1239">
        <v>0.04088817068709324</v>
      </c>
      <c r="AK48" s="1239">
        <v>0.03842983735375989</v>
      </c>
      <c r="AL48" s="1239">
        <v>0.04802983735375988</v>
      </c>
      <c r="AM48" s="1239">
        <v>0.05168364504606759</v>
      </c>
      <c r="AN48" s="1239">
        <v>0.05538738578680832</v>
      </c>
      <c r="AO48" s="1239">
        <v>0.06013738578680831</v>
      </c>
      <c r="AP48" s="1239">
        <v>0.06293045475232557</v>
      </c>
      <c r="AQ48" s="1239">
        <v>0.061</v>
      </c>
      <c r="AR48" s="1239">
        <v>0.06</v>
      </c>
      <c r="AS48" s="1239">
        <f>AR48-0.1%</f>
        <v>0.059</v>
      </c>
      <c r="AT48" s="1240">
        <f>AS48-0.1%</f>
        <v>0.058</v>
      </c>
      <c r="AU48" s="1240">
        <v>0.057</v>
      </c>
      <c r="AV48" s="1240">
        <v>0.056</v>
      </c>
      <c r="AW48" s="1240">
        <v>0.055</v>
      </c>
      <c r="AX48" s="708"/>
      <c r="AY48" s="708"/>
      <c r="AZ48" s="708"/>
      <c r="BA48" s="208"/>
      <c r="BB48" s="208"/>
      <c r="BC48" s="208"/>
      <c r="BD48" s="208"/>
      <c r="BE48" s="208"/>
      <c r="BF48" s="208"/>
      <c r="BG48" s="1184"/>
      <c r="BH48" s="1184"/>
      <c r="BI48" s="1184"/>
      <c r="BJ48" s="1184"/>
      <c r="BK48" s="1184"/>
      <c r="BL48" s="1184"/>
      <c r="BM48" s="1184"/>
      <c r="BN48" s="1184"/>
      <c r="BO48" s="1184"/>
      <c r="BP48" s="1184"/>
      <c r="BQ48" s="1184"/>
      <c r="BR48" s="1184"/>
      <c r="BS48" s="1184"/>
      <c r="BT48" s="1184"/>
      <c r="BU48" s="1184"/>
      <c r="BV48" s="1184"/>
      <c r="BW48" s="1184"/>
      <c r="BX48" s="1184"/>
      <c r="BY48" s="1184"/>
      <c r="BZ48" s="208"/>
      <c r="CA48" s="208"/>
      <c r="CB48" s="208"/>
      <c r="CC48" s="208"/>
      <c r="CD48" s="211"/>
    </row>
    <row r="49" ht="18" customHeight="1">
      <c r="A49" s="1234">
        <v>23</v>
      </c>
      <c r="B49" s="1235">
        <f>HLOOKUP($G$21,$M$26:$AW$64,24,-1)</f>
        <v>0</v>
      </c>
      <c r="C49" s="1217"/>
      <c r="D49" s="1217"/>
      <c r="E49" s="1217"/>
      <c r="F49" s="1233">
        <f>ROUND($B49*$F$20,0)</f>
        <v>0</v>
      </c>
      <c r="G49" s="1217"/>
      <c r="H49" s="1217"/>
      <c r="I49" s="1217"/>
      <c r="J49" s="1217"/>
      <c r="K49" s="1233"/>
      <c r="L49" s="1220"/>
      <c r="M49" s="1216"/>
      <c r="N49" s="1217"/>
      <c r="O49" s="1217"/>
      <c r="P49" s="1217"/>
      <c r="Q49" s="1239"/>
      <c r="R49" s="1239"/>
      <c r="S49" s="1239"/>
      <c r="T49" s="1239"/>
      <c r="U49" s="1239"/>
      <c r="V49" s="1239"/>
      <c r="W49" s="1239"/>
      <c r="X49" s="1239"/>
      <c r="Y49" s="1239"/>
      <c r="Z49" s="1239"/>
      <c r="AA49" s="1239"/>
      <c r="AB49" s="1239"/>
      <c r="AC49" s="1239"/>
      <c r="AD49" s="1239"/>
      <c r="AE49" s="1239"/>
      <c r="AF49" s="1217"/>
      <c r="AG49" s="1217"/>
      <c r="AH49" s="1239"/>
      <c r="AI49" s="1239"/>
      <c r="AJ49" s="1239">
        <v>0.06688817068709324</v>
      </c>
      <c r="AK49" s="1239">
        <v>0.04042983735375989</v>
      </c>
      <c r="AL49" s="1239">
        <v>0.03802983735375988</v>
      </c>
      <c r="AM49" s="1239">
        <v>0.04768364504606758</v>
      </c>
      <c r="AN49" s="1239">
        <v>0.05138738578680833</v>
      </c>
      <c r="AO49" s="1239">
        <v>0.05513738578680832</v>
      </c>
      <c r="AP49" s="1239">
        <v>0.05993045475232556</v>
      </c>
      <c r="AQ49" s="1239">
        <v>0.058</v>
      </c>
      <c r="AR49" s="1239">
        <v>0.057</v>
      </c>
      <c r="AS49" s="1239">
        <f>AR49-0.1%</f>
        <v>0.056</v>
      </c>
      <c r="AT49" s="1240">
        <v>0.056</v>
      </c>
      <c r="AU49" s="1240">
        <v>0.055</v>
      </c>
      <c r="AV49" s="1240">
        <v>0.054</v>
      </c>
      <c r="AW49" s="1240">
        <v>0.053</v>
      </c>
      <c r="AX49" s="708"/>
      <c r="AY49" s="708"/>
      <c r="AZ49" s="708"/>
      <c r="BA49" s="208"/>
      <c r="BB49" s="208"/>
      <c r="BC49" s="208"/>
      <c r="BD49" s="208"/>
      <c r="BE49" s="208"/>
      <c r="BF49" s="208"/>
      <c r="BG49" s="1184"/>
      <c r="BH49" s="1184"/>
      <c r="BI49" s="1184"/>
      <c r="BJ49" s="1184"/>
      <c r="BK49" s="1184"/>
      <c r="BL49" s="1184"/>
      <c r="BM49" s="1184"/>
      <c r="BN49" s="1184"/>
      <c r="BO49" s="1184"/>
      <c r="BP49" s="1184"/>
      <c r="BQ49" s="1184"/>
      <c r="BR49" s="1184"/>
      <c r="BS49" s="1184"/>
      <c r="BT49" s="1184"/>
      <c r="BU49" s="1184"/>
      <c r="BV49" s="1184"/>
      <c r="BW49" s="1184"/>
      <c r="BX49" s="1184"/>
      <c r="BY49" s="1184"/>
      <c r="BZ49" s="208"/>
      <c r="CA49" s="208"/>
      <c r="CB49" s="208"/>
      <c r="CC49" s="208"/>
      <c r="CD49" s="211"/>
    </row>
    <row r="50" ht="18" customHeight="1">
      <c r="A50" s="1234">
        <v>24</v>
      </c>
      <c r="B50" s="1235">
        <f>HLOOKUP($G$21,$M$26:$AW$64,25,-1)</f>
        <v>0</v>
      </c>
      <c r="C50" s="1217"/>
      <c r="D50" s="1217"/>
      <c r="E50" s="1217"/>
      <c r="F50" s="1233">
        <f>ROUND($B50*$F$20,0)</f>
        <v>0</v>
      </c>
      <c r="G50" s="1217"/>
      <c r="H50" s="1217"/>
      <c r="I50" s="1217"/>
      <c r="J50" s="1217"/>
      <c r="K50" s="1233"/>
      <c r="L50" s="1220"/>
      <c r="M50" s="1216"/>
      <c r="N50" s="1217"/>
      <c r="O50" s="1217"/>
      <c r="P50" s="1217"/>
      <c r="Q50" s="1239"/>
      <c r="R50" s="1239"/>
      <c r="S50" s="1239"/>
      <c r="T50" s="1239"/>
      <c r="U50" s="1239"/>
      <c r="V50" s="1239"/>
      <c r="W50" s="1239"/>
      <c r="X50" s="1239"/>
      <c r="Y50" s="1239"/>
      <c r="Z50" s="1239"/>
      <c r="AA50" s="1239"/>
      <c r="AB50" s="1239"/>
      <c r="AC50" s="1239"/>
      <c r="AD50" s="1239"/>
      <c r="AE50" s="1239"/>
      <c r="AF50" s="1217"/>
      <c r="AG50" s="1217"/>
      <c r="AH50" s="1239"/>
      <c r="AI50" s="1239"/>
      <c r="AJ50" s="1239"/>
      <c r="AK50" s="1239">
        <v>0.0664298373537599</v>
      </c>
      <c r="AL50" s="1239">
        <v>0.04002983735375988</v>
      </c>
      <c r="AM50" s="1239">
        <v>0.03768364504606758</v>
      </c>
      <c r="AN50" s="1239">
        <v>0.04738738578680832</v>
      </c>
      <c r="AO50" s="1239">
        <v>0.05113738578680832</v>
      </c>
      <c r="AP50" s="1239">
        <v>0.05493045475232557</v>
      </c>
      <c r="AQ50" s="1239">
        <v>0.053</v>
      </c>
      <c r="AR50" s="1239">
        <v>0.052</v>
      </c>
      <c r="AS50" s="1239">
        <f>AR50-0.1%</f>
        <v>0.051</v>
      </c>
      <c r="AT50" s="1240">
        <v>0.051</v>
      </c>
      <c r="AU50" s="1240">
        <v>0.05</v>
      </c>
      <c r="AV50" s="1240">
        <v>0.049</v>
      </c>
      <c r="AW50" s="1240">
        <v>0.048</v>
      </c>
      <c r="AX50" s="708"/>
      <c r="AY50" s="708"/>
      <c r="AZ50" s="708"/>
      <c r="BA50" s="208"/>
      <c r="BB50" s="208"/>
      <c r="BC50" s="208"/>
      <c r="BD50" s="208"/>
      <c r="BE50" s="208"/>
      <c r="BF50" s="208"/>
      <c r="BG50" s="1184"/>
      <c r="BH50" s="1184"/>
      <c r="BI50" s="1184"/>
      <c r="BJ50" s="1184"/>
      <c r="BK50" s="1184"/>
      <c r="BL50" s="1184"/>
      <c r="BM50" s="1184"/>
      <c r="BN50" s="1184"/>
      <c r="BO50" s="1184"/>
      <c r="BP50" s="1184"/>
      <c r="BQ50" s="1184"/>
      <c r="BR50" s="1184"/>
      <c r="BS50" s="1184"/>
      <c r="BT50" s="1184"/>
      <c r="BU50" s="1184"/>
      <c r="BV50" s="1184"/>
      <c r="BW50" s="1184"/>
      <c r="BX50" s="1184"/>
      <c r="BY50" s="1184"/>
      <c r="BZ50" s="208"/>
      <c r="CA50" s="208"/>
      <c r="CB50" s="208"/>
      <c r="CC50" s="208"/>
      <c r="CD50" s="211"/>
    </row>
    <row r="51" ht="18" customHeight="1">
      <c r="A51" s="1234">
        <v>25</v>
      </c>
      <c r="B51" s="1235">
        <f>HLOOKUP($G$21,$M$26:$AW$64,26,-1)</f>
        <v>0</v>
      </c>
      <c r="C51" s="1217"/>
      <c r="D51" s="1217"/>
      <c r="E51" s="1217"/>
      <c r="F51" s="1233">
        <f>ROUND($B51*$F$20,0)</f>
        <v>0</v>
      </c>
      <c r="G51" s="1217"/>
      <c r="H51" s="1217"/>
      <c r="I51" s="1217"/>
      <c r="J51" s="1217"/>
      <c r="K51" s="1233"/>
      <c r="L51" s="1220"/>
      <c r="M51" s="1216"/>
      <c r="N51" s="1217"/>
      <c r="O51" s="1217"/>
      <c r="P51" s="1217"/>
      <c r="Q51" s="1239"/>
      <c r="R51" s="1239"/>
      <c r="S51" s="1239"/>
      <c r="T51" s="1239"/>
      <c r="U51" s="1239"/>
      <c r="V51" s="1239"/>
      <c r="W51" s="1239"/>
      <c r="X51" s="1239"/>
      <c r="Y51" s="1239"/>
      <c r="Z51" s="1239"/>
      <c r="AA51" s="1239"/>
      <c r="AB51" s="1239"/>
      <c r="AC51" s="1239"/>
      <c r="AD51" s="1239"/>
      <c r="AE51" s="1239"/>
      <c r="AF51" s="1217"/>
      <c r="AG51" s="1217"/>
      <c r="AH51" s="1239"/>
      <c r="AI51" s="1239"/>
      <c r="AJ51" s="1239"/>
      <c r="AK51" s="1239"/>
      <c r="AL51" s="1239">
        <v>0.06602983735375989</v>
      </c>
      <c r="AM51" s="1239">
        <v>0.03968364504606758</v>
      </c>
      <c r="AN51" s="1239">
        <v>0.03738738578680832</v>
      </c>
      <c r="AO51" s="1239">
        <v>0.04713738578680832</v>
      </c>
      <c r="AP51" s="1239">
        <v>0.05093045475232557</v>
      </c>
      <c r="AQ51" s="1239">
        <v>0.049</v>
      </c>
      <c r="AR51" s="1239">
        <v>0.048</v>
      </c>
      <c r="AS51" s="1239">
        <f>AR51-0.1%</f>
        <v>0.047</v>
      </c>
      <c r="AT51" s="1240">
        <v>0.047</v>
      </c>
      <c r="AU51" s="1240">
        <f>AT51-0.05%</f>
        <v>0.0465</v>
      </c>
      <c r="AV51" s="1240">
        <v>0.045</v>
      </c>
      <c r="AW51" s="1240">
        <f>AV51-0.05%</f>
        <v>0.0445</v>
      </c>
      <c r="AX51" s="708"/>
      <c r="AY51" s="708"/>
      <c r="AZ51" s="708"/>
      <c r="BA51" s="208"/>
      <c r="BB51" s="208"/>
      <c r="BC51" s="208"/>
      <c r="BD51" s="208"/>
      <c r="BE51" s="208"/>
      <c r="BF51" s="208"/>
      <c r="BG51" s="1184"/>
      <c r="BH51" s="1184"/>
      <c r="BI51" s="1184"/>
      <c r="BJ51" s="1184"/>
      <c r="BK51" s="1184"/>
      <c r="BL51" s="1184"/>
      <c r="BM51" s="1184"/>
      <c r="BN51" s="1184"/>
      <c r="BO51" s="1184"/>
      <c r="BP51" s="1184"/>
      <c r="BQ51" s="1184"/>
      <c r="BR51" s="1184"/>
      <c r="BS51" s="1184"/>
      <c r="BT51" s="1184"/>
      <c r="BU51" s="1184"/>
      <c r="BV51" s="1184"/>
      <c r="BW51" s="1184"/>
      <c r="BX51" s="1184"/>
      <c r="BY51" s="1184"/>
      <c r="BZ51" s="208"/>
      <c r="CA51" s="208"/>
      <c r="CB51" s="208"/>
      <c r="CC51" s="208"/>
      <c r="CD51" s="211"/>
    </row>
    <row r="52" ht="18" customHeight="1">
      <c r="A52" s="1234">
        <v>26</v>
      </c>
      <c r="B52" s="1235">
        <f>HLOOKUP($G$21,$M$26:$AW$64,27,-1)</f>
        <v>0</v>
      </c>
      <c r="C52" s="1217"/>
      <c r="D52" s="1217"/>
      <c r="E52" s="1217"/>
      <c r="F52" s="1233">
        <f>ROUND($B52*$F$20,0)</f>
        <v>0</v>
      </c>
      <c r="G52" s="1217"/>
      <c r="H52" s="1217"/>
      <c r="I52" s="1217"/>
      <c r="J52" s="1217"/>
      <c r="K52" s="1233"/>
      <c r="L52" s="1220"/>
      <c r="M52" s="1216"/>
      <c r="N52" s="1217"/>
      <c r="O52" s="1217"/>
      <c r="P52" s="1217"/>
      <c r="Q52" s="1239"/>
      <c r="R52" s="1239"/>
      <c r="S52" s="1239"/>
      <c r="T52" s="1239"/>
      <c r="U52" s="1239"/>
      <c r="V52" s="1239"/>
      <c r="W52" s="1239"/>
      <c r="X52" s="1239"/>
      <c r="Y52" s="1239"/>
      <c r="Z52" s="1239"/>
      <c r="AA52" s="1239"/>
      <c r="AB52" s="1239"/>
      <c r="AC52" s="1239"/>
      <c r="AD52" s="1239"/>
      <c r="AE52" s="1239"/>
      <c r="AF52" s="1217"/>
      <c r="AG52" s="1217"/>
      <c r="AH52" s="1239"/>
      <c r="AI52" s="1239"/>
      <c r="AJ52" s="1239"/>
      <c r="AK52" s="1239"/>
      <c r="AL52" s="1239"/>
      <c r="AM52" s="1239">
        <v>0.06568364504606759</v>
      </c>
      <c r="AN52" s="1239">
        <v>0.03938738578680832</v>
      </c>
      <c r="AO52" s="1239">
        <v>0.03713738578680831</v>
      </c>
      <c r="AP52" s="1239">
        <v>0.04693045475232557</v>
      </c>
      <c r="AQ52" s="1239">
        <v>0.046</v>
      </c>
      <c r="AR52" s="1239">
        <v>0.045</v>
      </c>
      <c r="AS52" s="1239">
        <f>AR52-0.1%</f>
        <v>0.044</v>
      </c>
      <c r="AT52" s="1240">
        <v>0.044</v>
      </c>
      <c r="AU52" s="1240">
        <f>AT52-0.05%</f>
        <v>0.0435</v>
      </c>
      <c r="AV52" s="1240">
        <v>0.042</v>
      </c>
      <c r="AW52" s="1240">
        <f>AV52-0.05%</f>
        <v>0.0415</v>
      </c>
      <c r="AX52" s="708"/>
      <c r="AY52" s="708"/>
      <c r="AZ52" s="708"/>
      <c r="BA52" s="208"/>
      <c r="BB52" s="208"/>
      <c r="BC52" s="208"/>
      <c r="BD52" s="208"/>
      <c r="BE52" s="208"/>
      <c r="BF52" s="208"/>
      <c r="BG52" s="1184"/>
      <c r="BH52" s="1184"/>
      <c r="BI52" s="1184"/>
      <c r="BJ52" s="1184"/>
      <c r="BK52" s="1184"/>
      <c r="BL52" s="1184"/>
      <c r="BM52" s="1184"/>
      <c r="BN52" s="1184"/>
      <c r="BO52" s="1184"/>
      <c r="BP52" s="1184"/>
      <c r="BQ52" s="1184"/>
      <c r="BR52" s="1184"/>
      <c r="BS52" s="1184"/>
      <c r="BT52" s="1184"/>
      <c r="BU52" s="1184"/>
      <c r="BV52" s="1184"/>
      <c r="BW52" s="1184"/>
      <c r="BX52" s="1184"/>
      <c r="BY52" s="1184"/>
      <c r="BZ52" s="208"/>
      <c r="CA52" s="208"/>
      <c r="CB52" s="208"/>
      <c r="CC52" s="208"/>
      <c r="CD52" s="211"/>
    </row>
    <row r="53" ht="18" customHeight="1">
      <c r="A53" s="1234">
        <v>27</v>
      </c>
      <c r="B53" s="1235">
        <f>HLOOKUP($G$21,$M$26:$AW$64,28,-1)</f>
        <v>0</v>
      </c>
      <c r="C53" s="1217"/>
      <c r="D53" s="1217"/>
      <c r="E53" s="1217"/>
      <c r="F53" s="1233">
        <f>ROUND($B53*$F$20,0)</f>
        <v>0</v>
      </c>
      <c r="G53" s="1217"/>
      <c r="H53" s="1217"/>
      <c r="I53" s="1217"/>
      <c r="J53" s="1217"/>
      <c r="K53" s="1233"/>
      <c r="L53" s="1220"/>
      <c r="M53" s="1216"/>
      <c r="N53" s="1217"/>
      <c r="O53" s="1217"/>
      <c r="P53" s="1217"/>
      <c r="Q53" s="1239"/>
      <c r="R53" s="1239"/>
      <c r="S53" s="1239"/>
      <c r="T53" s="1239"/>
      <c r="U53" s="1239"/>
      <c r="V53" s="1239"/>
      <c r="W53" s="1239"/>
      <c r="X53" s="1239"/>
      <c r="Y53" s="1239"/>
      <c r="Z53" s="1239"/>
      <c r="AA53" s="1239"/>
      <c r="AB53" s="1239"/>
      <c r="AC53" s="1239"/>
      <c r="AD53" s="1239"/>
      <c r="AE53" s="1239"/>
      <c r="AF53" s="1217"/>
      <c r="AG53" s="1217"/>
      <c r="AH53" s="1239"/>
      <c r="AI53" s="1239"/>
      <c r="AJ53" s="1239"/>
      <c r="AK53" s="1239"/>
      <c r="AL53" s="1239"/>
      <c r="AM53" s="1239"/>
      <c r="AN53" s="1239">
        <v>0.06538738578680833</v>
      </c>
      <c r="AO53" s="1239">
        <v>0.03913738578680832</v>
      </c>
      <c r="AP53" s="1239">
        <v>0.03693045475232556</v>
      </c>
      <c r="AQ53" s="1239">
        <v>0.036</v>
      </c>
      <c r="AR53" s="1239">
        <v>0.035</v>
      </c>
      <c r="AS53" s="1239">
        <f>AR53-0.1%</f>
        <v>0.034</v>
      </c>
      <c r="AT53" s="1240">
        <f>AS53-0.1%</f>
        <v>0.033</v>
      </c>
      <c r="AU53" s="1240">
        <f>AT53-0.05%</f>
        <v>0.0325</v>
      </c>
      <c r="AV53" s="1240">
        <v>0.031</v>
      </c>
      <c r="AW53" s="1240">
        <f>AV53-0.05%</f>
        <v>0.0305</v>
      </c>
      <c r="AX53" s="708"/>
      <c r="AY53" s="708"/>
      <c r="AZ53" s="708"/>
      <c r="BA53" s="208"/>
      <c r="BB53" s="208"/>
      <c r="BC53" s="208"/>
      <c r="BD53" s="208"/>
      <c r="BE53" s="208"/>
      <c r="BF53" s="208"/>
      <c r="BG53" s="1184"/>
      <c r="BH53" s="1184"/>
      <c r="BI53" s="1184"/>
      <c r="BJ53" s="1184"/>
      <c r="BK53" s="1184"/>
      <c r="BL53" s="1184"/>
      <c r="BM53" s="1184"/>
      <c r="BN53" s="1184"/>
      <c r="BO53" s="1184"/>
      <c r="BP53" s="1184"/>
      <c r="BQ53" s="1184"/>
      <c r="BR53" s="1184"/>
      <c r="BS53" s="1184"/>
      <c r="BT53" s="1184"/>
      <c r="BU53" s="1184"/>
      <c r="BV53" s="1184"/>
      <c r="BW53" s="1184"/>
      <c r="BX53" s="1184"/>
      <c r="BY53" s="1184"/>
      <c r="BZ53" s="208"/>
      <c r="CA53" s="208"/>
      <c r="CB53" s="208"/>
      <c r="CC53" s="208"/>
      <c r="CD53" s="211"/>
    </row>
    <row r="54" ht="18" customHeight="1">
      <c r="A54" s="1234">
        <v>28</v>
      </c>
      <c r="B54" s="1235">
        <f>HLOOKUP($G$21,$M$26:$AW$64,29,-1)</f>
        <v>0</v>
      </c>
      <c r="C54" s="1217"/>
      <c r="D54" s="1217"/>
      <c r="E54" s="1217"/>
      <c r="F54" s="1233">
        <f>ROUND($B54*$F$20,0)</f>
        <v>0</v>
      </c>
      <c r="G54" s="1217"/>
      <c r="H54" s="1217"/>
      <c r="I54" s="1217"/>
      <c r="J54" s="1217"/>
      <c r="K54" s="1233"/>
      <c r="L54" s="1220"/>
      <c r="M54" s="1216"/>
      <c r="N54" s="1217"/>
      <c r="O54" s="1217"/>
      <c r="P54" s="1217"/>
      <c r="Q54" s="1239"/>
      <c r="R54" s="1239"/>
      <c r="S54" s="1239"/>
      <c r="T54" s="1239"/>
      <c r="U54" s="1239"/>
      <c r="V54" s="1239"/>
      <c r="W54" s="1239"/>
      <c r="X54" s="1239"/>
      <c r="Y54" s="1239"/>
      <c r="Z54" s="1239"/>
      <c r="AA54" s="1239"/>
      <c r="AB54" s="1239"/>
      <c r="AC54" s="1239"/>
      <c r="AD54" s="1239"/>
      <c r="AE54" s="1239"/>
      <c r="AF54" s="1217"/>
      <c r="AG54" s="1217"/>
      <c r="AH54" s="1239"/>
      <c r="AI54" s="1239"/>
      <c r="AJ54" s="1239"/>
      <c r="AK54" s="1239"/>
      <c r="AL54" s="1239"/>
      <c r="AM54" s="1239"/>
      <c r="AN54" s="1239"/>
      <c r="AO54" s="1239">
        <v>0.06513738578680832</v>
      </c>
      <c r="AP54" s="1239">
        <v>0.03893045475232557</v>
      </c>
      <c r="AQ54" s="1239">
        <v>0.038</v>
      </c>
      <c r="AR54" s="1239">
        <v>0.037</v>
      </c>
      <c r="AS54" s="1239">
        <f>AR54-0.1%</f>
        <v>0.036</v>
      </c>
      <c r="AT54" s="1240">
        <f>AS54-0.1%</f>
        <v>0.035</v>
      </c>
      <c r="AU54" s="1240">
        <f>AT54-0.05%</f>
        <v>0.0345</v>
      </c>
      <c r="AV54" s="1240">
        <v>0.033</v>
      </c>
      <c r="AW54" s="1240">
        <f>AV54-0.05%</f>
        <v>0.0325</v>
      </c>
      <c r="AX54" s="708"/>
      <c r="AY54" s="708"/>
      <c r="AZ54" s="708"/>
      <c r="BA54" s="208"/>
      <c r="BB54" s="208"/>
      <c r="BC54" s="208"/>
      <c r="BD54" s="208"/>
      <c r="BE54" s="208"/>
      <c r="BF54" s="208"/>
      <c r="BG54" s="1184"/>
      <c r="BH54" s="1184"/>
      <c r="BI54" s="1184"/>
      <c r="BJ54" s="1184"/>
      <c r="BK54" s="1184"/>
      <c r="BL54" s="1184"/>
      <c r="BM54" s="1184"/>
      <c r="BN54" s="1184"/>
      <c r="BO54" s="1184"/>
      <c r="BP54" s="1184"/>
      <c r="BQ54" s="1184"/>
      <c r="BR54" s="1184"/>
      <c r="BS54" s="1184"/>
      <c r="BT54" s="1184"/>
      <c r="BU54" s="1184"/>
      <c r="BV54" s="1184"/>
      <c r="BW54" s="1184"/>
      <c r="BX54" s="1184"/>
      <c r="BY54" s="1184"/>
      <c r="BZ54" s="208"/>
      <c r="CA54" s="208"/>
      <c r="CB54" s="208"/>
      <c r="CC54" s="208"/>
      <c r="CD54" s="211"/>
    </row>
    <row r="55" ht="18" customHeight="1">
      <c r="A55" s="1234">
        <v>29</v>
      </c>
      <c r="B55" s="1235">
        <f>HLOOKUP($G$21,$M$26:$AW$64,30,-1)</f>
        <v>0</v>
      </c>
      <c r="C55" s="1217"/>
      <c r="D55" s="1217"/>
      <c r="E55" s="1217"/>
      <c r="F55" s="1233">
        <f>ROUND($B55*$F$20,0)</f>
        <v>0</v>
      </c>
      <c r="G55" s="1217"/>
      <c r="H55" s="1217"/>
      <c r="I55" s="1217"/>
      <c r="J55" s="1217"/>
      <c r="K55" s="1233"/>
      <c r="L55" s="1220"/>
      <c r="M55" s="1216"/>
      <c r="N55" s="1217"/>
      <c r="O55" s="1217"/>
      <c r="P55" s="1217"/>
      <c r="Q55" s="1239"/>
      <c r="R55" s="1239"/>
      <c r="S55" s="1239"/>
      <c r="T55" s="1239"/>
      <c r="U55" s="1239"/>
      <c r="V55" s="1239"/>
      <c r="W55" s="1239"/>
      <c r="X55" s="1239"/>
      <c r="Y55" s="1239"/>
      <c r="Z55" s="1239"/>
      <c r="AA55" s="1239"/>
      <c r="AB55" s="1239"/>
      <c r="AC55" s="1239"/>
      <c r="AD55" s="1239"/>
      <c r="AE55" s="1239"/>
      <c r="AF55" s="1217"/>
      <c r="AG55" s="1217"/>
      <c r="AH55" s="1239"/>
      <c r="AI55" s="1239"/>
      <c r="AJ55" s="1239"/>
      <c r="AK55" s="1239"/>
      <c r="AL55" s="1239"/>
      <c r="AM55" s="1239"/>
      <c r="AN55" s="1239"/>
      <c r="AO55" s="1239"/>
      <c r="AP55" s="1239">
        <v>0.06493045475232556</v>
      </c>
      <c r="AQ55" s="1239">
        <v>0.036</v>
      </c>
      <c r="AR55" s="1239">
        <v>0.035</v>
      </c>
      <c r="AS55" s="1239">
        <f>AR55-0.1%</f>
        <v>0.034</v>
      </c>
      <c r="AT55" s="1240">
        <f>AS55-0.1%</f>
        <v>0.033</v>
      </c>
      <c r="AU55" s="1240">
        <f>AT55-0.05%</f>
        <v>0.0325</v>
      </c>
      <c r="AV55" s="1240">
        <f>AU55-0.05%</f>
        <v>0.032</v>
      </c>
      <c r="AW55" s="1240">
        <f>AV55-0.05%</f>
        <v>0.0315</v>
      </c>
      <c r="AX55" s="708"/>
      <c r="AY55" s="708"/>
      <c r="AZ55" s="708"/>
      <c r="BA55" s="208"/>
      <c r="BB55" s="208"/>
      <c r="BC55" s="208"/>
      <c r="BD55" s="208"/>
      <c r="BE55" s="208"/>
      <c r="BF55" s="208"/>
      <c r="BG55" s="1184"/>
      <c r="BH55" s="1184"/>
      <c r="BI55" s="1184"/>
      <c r="BJ55" s="1184"/>
      <c r="BK55" s="1184"/>
      <c r="BL55" s="1184"/>
      <c r="BM55" s="1184"/>
      <c r="BN55" s="1184"/>
      <c r="BO55" s="1184"/>
      <c r="BP55" s="1184"/>
      <c r="BQ55" s="1184"/>
      <c r="BR55" s="1184"/>
      <c r="BS55" s="1184"/>
      <c r="BT55" s="1184"/>
      <c r="BU55" s="1184"/>
      <c r="BV55" s="1184"/>
      <c r="BW55" s="1184"/>
      <c r="BX55" s="1184"/>
      <c r="BY55" s="1184"/>
      <c r="BZ55" s="208"/>
      <c r="CA55" s="208"/>
      <c r="CB55" s="208"/>
      <c r="CC55" s="208"/>
      <c r="CD55" s="211"/>
    </row>
    <row r="56" ht="18" customHeight="1">
      <c r="A56" s="1234">
        <v>30</v>
      </c>
      <c r="B56" s="1235">
        <f>HLOOKUP($G$21,$M$26:$AW$64,31,-1)</f>
        <v>0</v>
      </c>
      <c r="C56" s="1217"/>
      <c r="D56" s="1217"/>
      <c r="E56" s="1217"/>
      <c r="F56" s="1233">
        <f>ROUND($B56*$F$20,0)</f>
        <v>0</v>
      </c>
      <c r="G56" s="1217"/>
      <c r="H56" s="1217"/>
      <c r="I56" s="1217"/>
      <c r="J56" s="1217"/>
      <c r="K56" s="1233"/>
      <c r="L56" s="1220"/>
      <c r="M56" s="1216"/>
      <c r="N56" s="1217"/>
      <c r="O56" s="1217"/>
      <c r="P56" s="1217"/>
      <c r="Q56" s="1239"/>
      <c r="R56" s="1239"/>
      <c r="S56" s="1239"/>
      <c r="T56" s="1239"/>
      <c r="U56" s="1239"/>
      <c r="V56" s="1239"/>
      <c r="W56" s="1239"/>
      <c r="X56" s="1239"/>
      <c r="Y56" s="1239"/>
      <c r="Z56" s="1239"/>
      <c r="AA56" s="1239"/>
      <c r="AB56" s="1239"/>
      <c r="AC56" s="1239"/>
      <c r="AD56" s="1239"/>
      <c r="AE56" s="1239"/>
      <c r="AF56" s="1217"/>
      <c r="AG56" s="1239"/>
      <c r="AH56" s="1217"/>
      <c r="AI56" s="1217"/>
      <c r="AJ56" s="1217"/>
      <c r="AK56" s="1217"/>
      <c r="AL56" s="1217"/>
      <c r="AM56" s="1217"/>
      <c r="AN56" s="1217"/>
      <c r="AO56" s="1217"/>
      <c r="AP56" s="1217"/>
      <c r="AQ56" s="1239">
        <v>0.064</v>
      </c>
      <c r="AR56" s="1239">
        <v>0.032</v>
      </c>
      <c r="AS56" s="1239">
        <f>AR56-0.1%</f>
        <v>0.031</v>
      </c>
      <c r="AT56" s="1240">
        <f>AS56-0.1%</f>
        <v>0.03</v>
      </c>
      <c r="AU56" s="1240">
        <f>AT56-0.05%</f>
        <v>0.0295</v>
      </c>
      <c r="AV56" s="1240">
        <f>AU56-0.05%</f>
        <v>0.029</v>
      </c>
      <c r="AW56" s="1240">
        <f>AV56-0.05%</f>
        <v>0.0285</v>
      </c>
      <c r="AX56" s="708"/>
      <c r="AY56" s="708"/>
      <c r="AZ56" s="708"/>
      <c r="BA56" s="208"/>
      <c r="BB56" s="208"/>
      <c r="BC56" s="208"/>
      <c r="BD56" s="208"/>
      <c r="BE56" s="208"/>
      <c r="BF56" s="208"/>
      <c r="BG56" s="1184"/>
      <c r="BH56" s="1184"/>
      <c r="BI56" s="1184"/>
      <c r="BJ56" s="1184"/>
      <c r="BK56" s="1184"/>
      <c r="BL56" s="1184"/>
      <c r="BM56" s="1184"/>
      <c r="BN56" s="1184"/>
      <c r="BO56" s="1184"/>
      <c r="BP56" s="1184"/>
      <c r="BQ56" s="1184"/>
      <c r="BR56" s="1184"/>
      <c r="BS56" s="1184"/>
      <c r="BT56" s="1184"/>
      <c r="BU56" s="1184"/>
      <c r="BV56" s="1184"/>
      <c r="BW56" s="1184"/>
      <c r="BX56" s="1184"/>
      <c r="BY56" s="1184"/>
      <c r="BZ56" s="208"/>
      <c r="CA56" s="208"/>
      <c r="CB56" s="208"/>
      <c r="CC56" s="208"/>
      <c r="CD56" s="211"/>
    </row>
    <row r="57" ht="18" customHeight="1">
      <c r="A57" s="1234">
        <v>31</v>
      </c>
      <c r="B57" s="1235">
        <f>HLOOKUP($G$21,$M$26:$AW$64,32,-1)</f>
        <v>0</v>
      </c>
      <c r="C57" s="1217"/>
      <c r="D57" s="1217"/>
      <c r="E57" s="1217"/>
      <c r="F57" s="1233">
        <f>ROUND($B57*$F$20,0)</f>
        <v>0</v>
      </c>
      <c r="G57" s="1217"/>
      <c r="H57" s="1217"/>
      <c r="I57" s="1217"/>
      <c r="J57" s="1217"/>
      <c r="K57" s="1233"/>
      <c r="L57" s="1220"/>
      <c r="M57" s="1216"/>
      <c r="N57" s="1217"/>
      <c r="O57" s="1217"/>
      <c r="P57" s="1217"/>
      <c r="Q57" s="1239"/>
      <c r="R57" s="1239"/>
      <c r="S57" s="1239"/>
      <c r="T57" s="1239"/>
      <c r="U57" s="1239"/>
      <c r="V57" s="1239"/>
      <c r="W57" s="1239"/>
      <c r="X57" s="1239"/>
      <c r="Y57" s="1239"/>
      <c r="Z57" s="1239"/>
      <c r="AA57" s="1239"/>
      <c r="AB57" s="1239"/>
      <c r="AC57" s="1239"/>
      <c r="AD57" s="1239"/>
      <c r="AE57" s="1239"/>
      <c r="AF57" s="1217"/>
      <c r="AG57" s="1239"/>
      <c r="AH57" s="1217"/>
      <c r="AI57" s="1217"/>
      <c r="AJ57" s="1217"/>
      <c r="AK57" s="1217"/>
      <c r="AL57" s="1217"/>
      <c r="AM57" s="1217"/>
      <c r="AN57" s="1217"/>
      <c r="AO57" s="1217"/>
      <c r="AP57" s="1217"/>
      <c r="AQ57" s="1239"/>
      <c r="AR57" s="1239">
        <v>0.061</v>
      </c>
      <c r="AS57" s="1239">
        <v>0.03</v>
      </c>
      <c r="AT57" s="1240">
        <f>AS57-0.1%</f>
        <v>0.029</v>
      </c>
      <c r="AU57" s="1240">
        <v>0.028</v>
      </c>
      <c r="AV57" s="1240">
        <v>0.028</v>
      </c>
      <c r="AW57" s="1240">
        <v>0.028</v>
      </c>
      <c r="AX57" s="708"/>
      <c r="AY57" s="708"/>
      <c r="AZ57" s="708"/>
      <c r="BA57" s="208"/>
      <c r="BB57" s="208"/>
      <c r="BC57" s="208"/>
      <c r="BD57" s="208"/>
      <c r="BE57" s="208"/>
      <c r="BF57" s="208"/>
      <c r="BG57" s="1184"/>
      <c r="BH57" s="1184"/>
      <c r="BI57" s="1184"/>
      <c r="BJ57" s="1184"/>
      <c r="BK57" s="1184"/>
      <c r="BL57" s="1184"/>
      <c r="BM57" s="1184"/>
      <c r="BN57" s="1184"/>
      <c r="BO57" s="1184"/>
      <c r="BP57" s="1184"/>
      <c r="BQ57" s="1184"/>
      <c r="BR57" s="1184"/>
      <c r="BS57" s="1184"/>
      <c r="BT57" s="1184"/>
      <c r="BU57" s="1184"/>
      <c r="BV57" s="1184"/>
      <c r="BW57" s="1184"/>
      <c r="BX57" s="1184"/>
      <c r="BY57" s="1184"/>
      <c r="BZ57" s="208"/>
      <c r="CA57" s="208"/>
      <c r="CB57" s="208"/>
      <c r="CC57" s="208"/>
      <c r="CD57" s="211"/>
    </row>
    <row r="58" ht="18" customHeight="1">
      <c r="A58" s="1234">
        <v>32</v>
      </c>
      <c r="B58" s="1235">
        <f>HLOOKUP($G$21,$M$26:$AW$64,33,-1)</f>
        <v>0</v>
      </c>
      <c r="C58" s="1217"/>
      <c r="D58" s="1217"/>
      <c r="E58" s="1217"/>
      <c r="F58" s="1233">
        <f>ROUND($B58*$F$20,0)</f>
        <v>0</v>
      </c>
      <c r="G58" s="1217"/>
      <c r="H58" s="1217"/>
      <c r="I58" s="1217"/>
      <c r="J58" s="1217"/>
      <c r="K58" s="1233"/>
      <c r="L58" s="1220"/>
      <c r="M58" s="1216"/>
      <c r="N58" s="1217"/>
      <c r="O58" s="1217"/>
      <c r="P58" s="1217"/>
      <c r="Q58" s="1239"/>
      <c r="R58" s="1239"/>
      <c r="S58" s="1239"/>
      <c r="T58" s="1239"/>
      <c r="U58" s="1239"/>
      <c r="V58" s="1239"/>
      <c r="W58" s="1239"/>
      <c r="X58" s="1239"/>
      <c r="Y58" s="1239"/>
      <c r="Z58" s="1239"/>
      <c r="AA58" s="1239"/>
      <c r="AB58" s="1239"/>
      <c r="AC58" s="1239"/>
      <c r="AD58" s="1239"/>
      <c r="AE58" s="1239"/>
      <c r="AF58" s="1217"/>
      <c r="AG58" s="1239"/>
      <c r="AH58" s="1217"/>
      <c r="AI58" s="1217"/>
      <c r="AJ58" s="1217"/>
      <c r="AK58" s="1217"/>
      <c r="AL58" s="1217"/>
      <c r="AM58" s="1217"/>
      <c r="AN58" s="1217"/>
      <c r="AO58" s="1217"/>
      <c r="AP58" s="1217"/>
      <c r="AQ58" s="1239"/>
      <c r="AR58" s="1239"/>
      <c r="AS58" s="1239">
        <v>0.061</v>
      </c>
      <c r="AT58" s="1240">
        <v>0.026</v>
      </c>
      <c r="AU58" s="1240">
        <v>0.025</v>
      </c>
      <c r="AV58" s="1240">
        <v>0.025</v>
      </c>
      <c r="AW58" s="1240">
        <v>0.025</v>
      </c>
      <c r="AX58" s="708"/>
      <c r="AY58" s="708"/>
      <c r="AZ58" s="708"/>
      <c r="BA58" s="208"/>
      <c r="BB58" s="208"/>
      <c r="BC58" s="208"/>
      <c r="BD58" s="208"/>
      <c r="BE58" s="208"/>
      <c r="BF58" s="208"/>
      <c r="BG58" s="1184"/>
      <c r="BH58" s="1184"/>
      <c r="BI58" s="1184"/>
      <c r="BJ58" s="1184"/>
      <c r="BK58" s="1184"/>
      <c r="BL58" s="1184"/>
      <c r="BM58" s="1184"/>
      <c r="BN58" s="1184"/>
      <c r="BO58" s="1184"/>
      <c r="BP58" s="1184"/>
      <c r="BQ58" s="1184"/>
      <c r="BR58" s="1184"/>
      <c r="BS58" s="1184"/>
      <c r="BT58" s="1184"/>
      <c r="BU58" s="1184"/>
      <c r="BV58" s="1184"/>
      <c r="BW58" s="1184"/>
      <c r="BX58" s="1184"/>
      <c r="BY58" s="1184"/>
      <c r="BZ58" s="208"/>
      <c r="CA58" s="208"/>
      <c r="CB58" s="208"/>
      <c r="CC58" s="208"/>
      <c r="CD58" s="211"/>
    </row>
    <row r="59" ht="18" customHeight="1">
      <c r="A59" s="1234">
        <v>33</v>
      </c>
      <c r="B59" s="1235">
        <f>HLOOKUP($G$21,$M$26:$AW$64,34,-1)</f>
        <v>0</v>
      </c>
      <c r="C59" s="1217"/>
      <c r="D59" s="1217"/>
      <c r="E59" s="1217"/>
      <c r="F59" s="1233">
        <f>ROUND($B59*$F$20,0)</f>
        <v>0</v>
      </c>
      <c r="G59" s="1217"/>
      <c r="H59" s="1217"/>
      <c r="I59" s="1217"/>
      <c r="J59" s="1217"/>
      <c r="K59" s="1233"/>
      <c r="L59" s="1220"/>
      <c r="M59" s="1216"/>
      <c r="N59" s="1217"/>
      <c r="O59" s="1217"/>
      <c r="P59" s="1217"/>
      <c r="Q59" s="1239"/>
      <c r="R59" s="1239"/>
      <c r="S59" s="1239"/>
      <c r="T59" s="1239"/>
      <c r="U59" s="1239"/>
      <c r="V59" s="1239"/>
      <c r="W59" s="1239"/>
      <c r="X59" s="1239"/>
      <c r="Y59" s="1239"/>
      <c r="Z59" s="1239"/>
      <c r="AA59" s="1239"/>
      <c r="AB59" s="1239"/>
      <c r="AC59" s="1239"/>
      <c r="AD59" s="1239"/>
      <c r="AE59" s="1239"/>
      <c r="AF59" s="1217"/>
      <c r="AG59" s="1239"/>
      <c r="AH59" s="1217"/>
      <c r="AI59" s="1217"/>
      <c r="AJ59" s="1217"/>
      <c r="AK59" s="1217"/>
      <c r="AL59" s="1217"/>
      <c r="AM59" s="1217"/>
      <c r="AN59" s="1217"/>
      <c r="AO59" s="1217"/>
      <c r="AP59" s="1217"/>
      <c r="AQ59" s="1239"/>
      <c r="AR59" s="1239"/>
      <c r="AS59" s="1239"/>
      <c r="AT59" s="1240">
        <v>0.06</v>
      </c>
      <c r="AU59" s="1240">
        <v>0.026</v>
      </c>
      <c r="AV59" s="1240">
        <v>0.026</v>
      </c>
      <c r="AW59" s="1240">
        <v>0.026</v>
      </c>
      <c r="AX59" s="708"/>
      <c r="AY59" s="708"/>
      <c r="AZ59" s="708"/>
      <c r="BA59" s="208"/>
      <c r="BB59" s="208"/>
      <c r="BC59" s="208"/>
      <c r="BD59" s="208"/>
      <c r="BE59" s="208"/>
      <c r="BF59" s="208"/>
      <c r="BG59" s="1184"/>
      <c r="BH59" s="1184"/>
      <c r="BI59" s="1184"/>
      <c r="BJ59" s="1184"/>
      <c r="BK59" s="1184"/>
      <c r="BL59" s="1184"/>
      <c r="BM59" s="1184"/>
      <c r="BN59" s="1184"/>
      <c r="BO59" s="1184"/>
      <c r="BP59" s="1184"/>
      <c r="BQ59" s="1184"/>
      <c r="BR59" s="1184"/>
      <c r="BS59" s="1184"/>
      <c r="BT59" s="1184"/>
      <c r="BU59" s="1184"/>
      <c r="BV59" s="1184"/>
      <c r="BW59" s="1184"/>
      <c r="BX59" s="1184"/>
      <c r="BY59" s="1184"/>
      <c r="BZ59" s="208"/>
      <c r="CA59" s="208"/>
      <c r="CB59" s="208"/>
      <c r="CC59" s="208"/>
      <c r="CD59" s="211"/>
    </row>
    <row r="60" ht="18" customHeight="1">
      <c r="A60" s="1234">
        <v>34</v>
      </c>
      <c r="B60" s="1235">
        <f>HLOOKUP($G$21,$M$26:$AW$64,35,-1)</f>
        <v>0</v>
      </c>
      <c r="C60" s="1217"/>
      <c r="D60" s="1217"/>
      <c r="E60" s="1217"/>
      <c r="F60" s="1233">
        <f>ROUND($B60*$F$20,0)</f>
        <v>0</v>
      </c>
      <c r="G60" s="1217"/>
      <c r="H60" s="1217"/>
      <c r="I60" s="1217"/>
      <c r="J60" s="1217"/>
      <c r="K60" s="1233"/>
      <c r="L60" s="1220"/>
      <c r="M60" s="1216"/>
      <c r="N60" s="1217"/>
      <c r="O60" s="1217"/>
      <c r="P60" s="1217"/>
      <c r="Q60" s="1239"/>
      <c r="R60" s="1239"/>
      <c r="S60" s="1239"/>
      <c r="T60" s="1239"/>
      <c r="U60" s="1239"/>
      <c r="V60" s="1239"/>
      <c r="W60" s="1239"/>
      <c r="X60" s="1239"/>
      <c r="Y60" s="1239"/>
      <c r="Z60" s="1239"/>
      <c r="AA60" s="1239"/>
      <c r="AB60" s="1239"/>
      <c r="AC60" s="1239"/>
      <c r="AD60" s="1239"/>
      <c r="AE60" s="1239"/>
      <c r="AF60" s="1217"/>
      <c r="AG60" s="1239"/>
      <c r="AH60" s="1217"/>
      <c r="AI60" s="1217"/>
      <c r="AJ60" s="1217"/>
      <c r="AK60" s="1217"/>
      <c r="AL60" s="1217"/>
      <c r="AM60" s="1217"/>
      <c r="AN60" s="1217"/>
      <c r="AO60" s="1217"/>
      <c r="AP60" s="1217"/>
      <c r="AQ60" s="1239"/>
      <c r="AR60" s="1239"/>
      <c r="AS60" s="1239"/>
      <c r="AT60" s="1240"/>
      <c r="AU60" s="1240">
        <v>0.059</v>
      </c>
      <c r="AV60" s="1240">
        <v>0.03</v>
      </c>
      <c r="AW60" s="1240">
        <v>0.03</v>
      </c>
      <c r="AX60" s="708"/>
      <c r="AY60" s="708"/>
      <c r="AZ60" s="708"/>
      <c r="BA60" s="208"/>
      <c r="BB60" s="208"/>
      <c r="BC60" s="208"/>
      <c r="BD60" s="208"/>
      <c r="BE60" s="208"/>
      <c r="BF60" s="208"/>
      <c r="BG60" s="1184"/>
      <c r="BH60" s="1184"/>
      <c r="BI60" s="1184"/>
      <c r="BJ60" s="1184"/>
      <c r="BK60" s="1184"/>
      <c r="BL60" s="1184"/>
      <c r="BM60" s="1184"/>
      <c r="BN60" s="1184"/>
      <c r="BO60" s="1184"/>
      <c r="BP60" s="1184"/>
      <c r="BQ60" s="1184"/>
      <c r="BR60" s="1184"/>
      <c r="BS60" s="1184"/>
      <c r="BT60" s="1184"/>
      <c r="BU60" s="1184"/>
      <c r="BV60" s="1184"/>
      <c r="BW60" s="1184"/>
      <c r="BX60" s="1184"/>
      <c r="BY60" s="1184"/>
      <c r="BZ60" s="208"/>
      <c r="CA60" s="208"/>
      <c r="CB60" s="208"/>
      <c r="CC60" s="208"/>
      <c r="CD60" s="211"/>
    </row>
    <row r="61" ht="18" customHeight="1">
      <c r="A61" s="1234">
        <v>35</v>
      </c>
      <c r="B61" s="1235">
        <f>HLOOKUP($G$21,$M$26:$AW$64,36,-1)</f>
        <v>0</v>
      </c>
      <c r="C61" s="1217"/>
      <c r="D61" s="1217"/>
      <c r="E61" s="1217"/>
      <c r="F61" s="1233">
        <f>ROUND($B61*$F$20,0)</f>
        <v>0</v>
      </c>
      <c r="G61" s="1217"/>
      <c r="H61" s="1217"/>
      <c r="I61" s="1217"/>
      <c r="J61" s="1217"/>
      <c r="K61" s="1233"/>
      <c r="L61" s="1220"/>
      <c r="M61" s="1216"/>
      <c r="N61" s="1217"/>
      <c r="O61" s="1217"/>
      <c r="P61" s="1217"/>
      <c r="Q61" s="1239"/>
      <c r="R61" s="1239"/>
      <c r="S61" s="1239"/>
      <c r="T61" s="1239"/>
      <c r="U61" s="1239"/>
      <c r="V61" s="1239"/>
      <c r="W61" s="1239"/>
      <c r="X61" s="1239"/>
      <c r="Y61" s="1239"/>
      <c r="Z61" s="1239"/>
      <c r="AA61" s="1239"/>
      <c r="AB61" s="1239"/>
      <c r="AC61" s="1239"/>
      <c r="AD61" s="1239"/>
      <c r="AE61" s="1239"/>
      <c r="AF61" s="1217"/>
      <c r="AG61" s="1239"/>
      <c r="AH61" s="1217"/>
      <c r="AI61" s="1217"/>
      <c r="AJ61" s="1217"/>
      <c r="AK61" s="1217"/>
      <c r="AL61" s="1217"/>
      <c r="AM61" s="1217"/>
      <c r="AN61" s="1217"/>
      <c r="AO61" s="1217"/>
      <c r="AP61" s="1217"/>
      <c r="AQ61" s="1239"/>
      <c r="AR61" s="1239"/>
      <c r="AS61" s="1239"/>
      <c r="AT61" s="1240"/>
      <c r="AU61" s="1240"/>
      <c r="AV61" s="1240">
        <v>0.057</v>
      </c>
      <c r="AW61" s="1240">
        <v>0.03</v>
      </c>
      <c r="AX61" s="708"/>
      <c r="AY61" s="708"/>
      <c r="AZ61" s="708"/>
      <c r="BA61" s="208"/>
      <c r="BB61" s="208"/>
      <c r="BC61" s="208"/>
      <c r="BD61" s="208"/>
      <c r="BE61" s="208"/>
      <c r="BF61" s="208"/>
      <c r="BG61" s="1184"/>
      <c r="BH61" s="1184"/>
      <c r="BI61" s="1184"/>
      <c r="BJ61" s="1184"/>
      <c r="BK61" s="1184"/>
      <c r="BL61" s="1184"/>
      <c r="BM61" s="1184"/>
      <c r="BN61" s="1184"/>
      <c r="BO61" s="1184"/>
      <c r="BP61" s="1184"/>
      <c r="BQ61" s="1184"/>
      <c r="BR61" s="1184"/>
      <c r="BS61" s="1184"/>
      <c r="BT61" s="1184"/>
      <c r="BU61" s="1184"/>
      <c r="BV61" s="1184"/>
      <c r="BW61" s="1184"/>
      <c r="BX61" s="1184"/>
      <c r="BY61" s="1184"/>
      <c r="BZ61" s="208"/>
      <c r="CA61" s="208"/>
      <c r="CB61" s="208"/>
      <c r="CC61" s="208"/>
      <c r="CD61" s="211"/>
    </row>
    <row r="62" ht="18" customHeight="1">
      <c r="A62" s="1234">
        <v>36</v>
      </c>
      <c r="B62" s="1235">
        <f>HLOOKUP($G$21,$M$26:$AW$64,37,-1)</f>
        <v>0</v>
      </c>
      <c r="C62" s="1217"/>
      <c r="D62" s="1217"/>
      <c r="E62" s="1217"/>
      <c r="F62" s="1233">
        <f>ROUND($B62*$F$20,0)</f>
        <v>0</v>
      </c>
      <c r="G62" s="1217"/>
      <c r="H62" s="1217"/>
      <c r="I62" s="1217"/>
      <c r="J62" s="1217"/>
      <c r="K62" s="1233"/>
      <c r="L62" s="1220"/>
      <c r="M62" s="1216"/>
      <c r="N62" s="1217"/>
      <c r="O62" s="1217"/>
      <c r="P62" s="1217"/>
      <c r="Q62" s="1239"/>
      <c r="R62" s="1239"/>
      <c r="S62" s="1239"/>
      <c r="T62" s="1239"/>
      <c r="U62" s="1239"/>
      <c r="V62" s="1239"/>
      <c r="W62" s="1239"/>
      <c r="X62" s="1239"/>
      <c r="Y62" s="1239"/>
      <c r="Z62" s="1239"/>
      <c r="AA62" s="1239"/>
      <c r="AB62" s="1239"/>
      <c r="AC62" s="1239"/>
      <c r="AD62" s="1239"/>
      <c r="AE62" s="1239"/>
      <c r="AF62" s="1217"/>
      <c r="AG62" s="1239"/>
      <c r="AH62" s="1217"/>
      <c r="AI62" s="1217"/>
      <c r="AJ62" s="1217"/>
      <c r="AK62" s="1217"/>
      <c r="AL62" s="1217"/>
      <c r="AM62" s="1217"/>
      <c r="AN62" s="1217"/>
      <c r="AO62" s="1217"/>
      <c r="AP62" s="1217"/>
      <c r="AQ62" s="1239"/>
      <c r="AR62" s="1239"/>
      <c r="AS62" s="1239"/>
      <c r="AT62" s="1240"/>
      <c r="AU62" s="1240"/>
      <c r="AV62" s="1240"/>
      <c r="AW62" s="1240">
        <v>0.055</v>
      </c>
      <c r="AX62" s="708"/>
      <c r="AY62" s="708"/>
      <c r="AZ62" s="708"/>
      <c r="BA62" s="208"/>
      <c r="BB62" s="208"/>
      <c r="BC62" s="208"/>
      <c r="BD62" s="208"/>
      <c r="BE62" s="208"/>
      <c r="BF62" s="208"/>
      <c r="BG62" s="1184"/>
      <c r="BH62" s="1184"/>
      <c r="BI62" s="1184"/>
      <c r="BJ62" s="1184"/>
      <c r="BK62" s="1184"/>
      <c r="BL62" s="1184"/>
      <c r="BM62" s="1184"/>
      <c r="BN62" s="1184"/>
      <c r="BO62" s="1184"/>
      <c r="BP62" s="1184"/>
      <c r="BQ62" s="1184"/>
      <c r="BR62" s="1184"/>
      <c r="BS62" s="1184"/>
      <c r="BT62" s="1184"/>
      <c r="BU62" s="1184"/>
      <c r="BV62" s="1184"/>
      <c r="BW62" s="1184"/>
      <c r="BX62" s="1184"/>
      <c r="BY62" s="1184"/>
      <c r="BZ62" s="208"/>
      <c r="CA62" s="208"/>
      <c r="CB62" s="208"/>
      <c r="CC62" s="208"/>
      <c r="CD62" s="211"/>
    </row>
    <row r="63" ht="18" customHeight="1">
      <c r="A63" s="1231"/>
      <c r="B63" s="1217"/>
      <c r="C63" s="1217"/>
      <c r="D63" s="1217"/>
      <c r="E63" s="1217"/>
      <c r="F63" s="1241"/>
      <c r="G63" s="1217"/>
      <c r="H63" s="1217"/>
      <c r="I63" s="1217"/>
      <c r="J63" s="1217"/>
      <c r="K63" s="1242"/>
      <c r="L63" s="1220"/>
      <c r="M63" s="1216"/>
      <c r="N63" s="1217"/>
      <c r="O63" s="1217"/>
      <c r="P63" s="1217"/>
      <c r="Q63" s="1239"/>
      <c r="R63" s="1239"/>
      <c r="S63" s="1239"/>
      <c r="T63" s="1239"/>
      <c r="U63" s="1239"/>
      <c r="V63" s="1239"/>
      <c r="W63" s="1239"/>
      <c r="X63" s="1239"/>
      <c r="Y63" s="1239"/>
      <c r="Z63" s="1239"/>
      <c r="AA63" s="1239"/>
      <c r="AB63" s="1239"/>
      <c r="AC63" s="1239"/>
      <c r="AD63" s="1239"/>
      <c r="AE63" s="1239"/>
      <c r="AF63" s="1221">
        <v>0</v>
      </c>
      <c r="AG63" s="1239"/>
      <c r="AH63" s="1217"/>
      <c r="AI63" s="1217"/>
      <c r="AJ63" s="1217"/>
      <c r="AK63" s="1217"/>
      <c r="AL63" s="1217"/>
      <c r="AM63" s="1217"/>
      <c r="AN63" s="1217"/>
      <c r="AO63" s="1217"/>
      <c r="AP63" s="1217"/>
      <c r="AQ63" s="1217"/>
      <c r="AR63" s="1217"/>
      <c r="AS63" s="1217"/>
      <c r="AT63" s="708"/>
      <c r="AU63" s="708"/>
      <c r="AV63" s="708"/>
      <c r="AW63" s="708"/>
      <c r="AX63" s="708"/>
      <c r="AY63" s="708"/>
      <c r="AZ63" s="708"/>
      <c r="BA63" s="208"/>
      <c r="BB63" s="208"/>
      <c r="BC63" s="208"/>
      <c r="BD63" s="208"/>
      <c r="BE63" s="208"/>
      <c r="BF63" s="208"/>
      <c r="BG63" s="1184"/>
      <c r="BH63" s="1184"/>
      <c r="BI63" s="1184"/>
      <c r="BJ63" s="1184"/>
      <c r="BK63" s="1184"/>
      <c r="BL63" s="1184"/>
      <c r="BM63" s="1184"/>
      <c r="BN63" s="1184"/>
      <c r="BO63" s="1184"/>
      <c r="BP63" s="1184"/>
      <c r="BQ63" s="1184"/>
      <c r="BR63" s="1184"/>
      <c r="BS63" s="1184"/>
      <c r="BT63" s="1184"/>
      <c r="BU63" s="1184"/>
      <c r="BV63" s="1184"/>
      <c r="BW63" s="1184"/>
      <c r="BX63" s="1184"/>
      <c r="BY63" s="1184"/>
      <c r="BZ63" s="208"/>
      <c r="CA63" s="208"/>
      <c r="CB63" s="208"/>
      <c r="CC63" s="208"/>
      <c r="CD63" s="211"/>
    </row>
    <row r="64" ht="18" customHeight="1">
      <c r="A64" s="1231"/>
      <c r="B64" s="1236">
        <f>SUM(B27:B62)</f>
        <v>0.9999999999999999</v>
      </c>
      <c r="C64" s="1236"/>
      <c r="D64" s="1236"/>
      <c r="E64" s="1217"/>
      <c r="F64" s="1243">
        <f>SUM(F27:F62)</f>
        <v>1012770</v>
      </c>
      <c r="G64" s="1217"/>
      <c r="H64" s="1217"/>
      <c r="I64" s="1217"/>
      <c r="J64" s="1217"/>
      <c r="K64" s="1243"/>
      <c r="L64" s="1220"/>
      <c r="M64" s="1237">
        <f>SUM(M27:M37)</f>
        <v>1</v>
      </c>
      <c r="N64" s="1238">
        <f>SUM(N27:N37)</f>
        <v>1</v>
      </c>
      <c r="O64" s="1238">
        <f>SUM(O27:O37)</f>
        <v>1</v>
      </c>
      <c r="P64" s="1238">
        <f>SUM(P27:P37)</f>
        <v>1</v>
      </c>
      <c r="Q64" s="1238">
        <f>SUM(Q27:Q37)</f>
        <v>1</v>
      </c>
      <c r="R64" s="1238">
        <f>SUM(R27:R37)</f>
        <v>1</v>
      </c>
      <c r="S64" s="1238">
        <f>SUM(S27:S37)</f>
        <v>1</v>
      </c>
      <c r="T64" s="1238">
        <f>SUM(T27:T37)</f>
        <v>1</v>
      </c>
      <c r="U64" s="1238">
        <f>SUM(U27:U37)</f>
        <v>1</v>
      </c>
      <c r="V64" s="1238">
        <f>SUM(V27:V37)</f>
        <v>1</v>
      </c>
      <c r="W64" s="1238">
        <f>SUM(W27:W37)</f>
        <v>0.9999999999999999</v>
      </c>
      <c r="X64" s="1238">
        <f>SUM(X27:X37)</f>
        <v>0.9999999999999998</v>
      </c>
      <c r="Y64" s="1238">
        <f>SUM(Y27:Y39)</f>
        <v>0.9999999999999999</v>
      </c>
      <c r="Z64" s="1238">
        <f>SUM(Z27:Z42)</f>
        <v>0.9999999999999999</v>
      </c>
      <c r="AA64" s="1238">
        <f>SUM(AA27:AA42)</f>
        <v>1</v>
      </c>
      <c r="AB64" s="1238">
        <f>SUM(AB27:AB44)</f>
        <v>1</v>
      </c>
      <c r="AC64" s="1238">
        <f>SUM(AC27:AC44)</f>
        <v>1</v>
      </c>
      <c r="AD64" s="1238">
        <f>SUM(AD27:AD44)</f>
        <v>1</v>
      </c>
      <c r="AE64" s="1238">
        <f>SUM(AE27:AE44)</f>
        <v>1</v>
      </c>
      <c r="AF64" s="1238">
        <f>SUM(AF27:AF56)</f>
        <v>0.9999990000000001</v>
      </c>
      <c r="AG64" s="1238">
        <f>SUM(AG27:AG56)</f>
        <v>0.9999999999999996</v>
      </c>
      <c r="AH64" s="1238">
        <f>SUM(AH27:AH56)</f>
        <v>0.9999990000000003</v>
      </c>
      <c r="AI64" s="1238">
        <f>SUM(AI27:AI56)</f>
        <v>0.9999990000000004</v>
      </c>
      <c r="AJ64" s="1238">
        <f>SUM(AJ27:AJ56)</f>
        <v>1.000000000000001</v>
      </c>
      <c r="AK64" s="1238">
        <f>SUM(AK27:AK56)</f>
        <v>1</v>
      </c>
      <c r="AL64" s="1238">
        <f>SUM(AL27:AL56)</f>
        <v>0.9999999999999997</v>
      </c>
      <c r="AM64" s="1238">
        <f>SUM(AM27:AM56)</f>
        <v>0.9999990000000002</v>
      </c>
      <c r="AN64" s="1238">
        <f>SUM(AN27:AN56)</f>
        <v>1</v>
      </c>
      <c r="AO64" s="1238">
        <f>SUM(AO27:AO56)</f>
        <v>0.9999999999999998</v>
      </c>
      <c r="AP64" s="1238">
        <f>SUM(AP27:AP56)</f>
        <v>0.9999990000000003</v>
      </c>
      <c r="AQ64" s="1239">
        <f>SUM(AQ27:AQ56)</f>
        <v>1</v>
      </c>
      <c r="AR64" s="1239">
        <f>SUM(AR27:AR57)</f>
        <v>1</v>
      </c>
      <c r="AS64" s="1239">
        <f>SUM(AS27:AS58)</f>
        <v>1</v>
      </c>
      <c r="AT64" s="1239">
        <f>SUM(AT27:AT59)</f>
        <v>1</v>
      </c>
      <c r="AU64" s="1244">
        <f>SUM(AU27:AU60)</f>
        <v>1</v>
      </c>
      <c r="AV64" s="1244">
        <f>SUM(AV27:AV61)</f>
        <v>1</v>
      </c>
      <c r="AW64" s="1244">
        <f>SUM(AW27:AW62)</f>
        <v>1</v>
      </c>
      <c r="AX64" s="931"/>
      <c r="AY64" s="708"/>
      <c r="AZ64" s="708"/>
      <c r="BA64" s="208"/>
      <c r="BB64" s="208"/>
      <c r="BC64" s="208"/>
      <c r="BD64" s="208"/>
      <c r="BE64" s="208"/>
      <c r="BF64" s="208"/>
      <c r="BG64" s="1184"/>
      <c r="BH64" s="1184"/>
      <c r="BI64" s="1184"/>
      <c r="BJ64" s="1184"/>
      <c r="BK64" s="1184"/>
      <c r="BL64" s="1184"/>
      <c r="BM64" s="1184"/>
      <c r="BN64" s="1184"/>
      <c r="BO64" s="1184"/>
      <c r="BP64" s="1184"/>
      <c r="BQ64" s="1184"/>
      <c r="BR64" s="1184"/>
      <c r="BS64" s="1184"/>
      <c r="BT64" s="1184"/>
      <c r="BU64" s="1184"/>
      <c r="BV64" s="1184"/>
      <c r="BW64" s="1184"/>
      <c r="BX64" s="1184"/>
      <c r="BY64" s="1184"/>
      <c r="BZ64" s="208"/>
      <c r="CA64" s="208"/>
      <c r="CB64" s="208"/>
      <c r="CC64" s="208"/>
      <c r="CD64" s="211"/>
    </row>
    <row r="65" ht="18" customHeight="1">
      <c r="A65" s="1231"/>
      <c r="B65" s="1236"/>
      <c r="C65" s="1236"/>
      <c r="D65" s="1236"/>
      <c r="E65" s="1217"/>
      <c r="F65" s="1214"/>
      <c r="G65" s="1217"/>
      <c r="H65" s="1217"/>
      <c r="I65" s="1217"/>
      <c r="J65" s="1217"/>
      <c r="K65" s="1245"/>
      <c r="L65" s="1220"/>
      <c r="M65" s="1216"/>
      <c r="N65" s="1217"/>
      <c r="O65" s="1217"/>
      <c r="P65" s="1217"/>
      <c r="Q65" s="1217"/>
      <c r="R65" s="1217"/>
      <c r="S65" s="1217"/>
      <c r="T65" s="1217"/>
      <c r="U65" s="1217"/>
      <c r="V65" s="1217"/>
      <c r="W65" s="1217"/>
      <c r="X65" s="1217"/>
      <c r="Y65" s="1217"/>
      <c r="Z65" s="1217"/>
      <c r="AA65" s="1217"/>
      <c r="AB65" s="1217"/>
      <c r="AC65" s="1217"/>
      <c r="AD65" s="1217"/>
      <c r="AE65" s="1217"/>
      <c r="AF65" s="1217"/>
      <c r="AG65" s="1217"/>
      <c r="AH65" s="1217"/>
      <c r="AI65" s="1217"/>
      <c r="AJ65" s="1217"/>
      <c r="AK65" s="1217"/>
      <c r="AL65" s="1217"/>
      <c r="AM65" s="1217"/>
      <c r="AN65" s="1217"/>
      <c r="AO65" s="1217"/>
      <c r="AP65" s="1217"/>
      <c r="AQ65" s="1217"/>
      <c r="AR65" s="1217"/>
      <c r="AS65" s="1217"/>
      <c r="AT65" s="708"/>
      <c r="AU65" s="708"/>
      <c r="AV65" s="708"/>
      <c r="AW65" s="708"/>
      <c r="AX65" s="708"/>
      <c r="AY65" s="708"/>
      <c r="AZ65" s="708"/>
      <c r="BA65" s="208"/>
      <c r="BB65" s="208"/>
      <c r="BC65" s="208"/>
      <c r="BD65" s="208"/>
      <c r="BE65" s="208"/>
      <c r="BF65" s="208"/>
      <c r="BG65" s="1184"/>
      <c r="BH65" s="1184"/>
      <c r="BI65" s="1184"/>
      <c r="BJ65" s="1184"/>
      <c r="BK65" s="1184"/>
      <c r="BL65" s="1184"/>
      <c r="BM65" s="1184"/>
      <c r="BN65" s="1184"/>
      <c r="BO65" s="1184"/>
      <c r="BP65" s="1184"/>
      <c r="BQ65" s="1184"/>
      <c r="BR65" s="1184"/>
      <c r="BS65" s="1184"/>
      <c r="BT65" s="1184"/>
      <c r="BU65" s="1184"/>
      <c r="BV65" s="1184"/>
      <c r="BW65" s="1184"/>
      <c r="BX65" s="1184"/>
      <c r="BY65" s="1184"/>
      <c r="BZ65" s="208"/>
      <c r="CA65" s="208"/>
      <c r="CB65" s="208"/>
      <c r="CC65" s="208"/>
      <c r="CD65" s="211"/>
    </row>
    <row r="66" ht="18" customHeight="1">
      <c r="A66" s="1216"/>
      <c r="B66" t="s" s="1230">
        <v>1118</v>
      </c>
      <c r="C66" s="1223"/>
      <c r="D66" s="1223"/>
      <c r="E66" s="1217"/>
      <c r="F66" s="1233"/>
      <c r="G66" s="1217"/>
      <c r="H66" s="1217"/>
      <c r="I66" s="1217"/>
      <c r="J66" s="1217"/>
      <c r="K66" s="1233"/>
      <c r="L66" s="1220"/>
      <c r="M66" s="1216"/>
      <c r="N66" s="1217"/>
      <c r="O66" s="1217"/>
      <c r="P66" s="1217"/>
      <c r="Q66" s="1217"/>
      <c r="R66" s="1217"/>
      <c r="S66" s="1217"/>
      <c r="T66" s="1217"/>
      <c r="U66" s="1217"/>
      <c r="V66" s="1217"/>
      <c r="W66" s="1217"/>
      <c r="X66" s="1217"/>
      <c r="Y66" s="1217"/>
      <c r="Z66" s="1217"/>
      <c r="AA66" s="1217"/>
      <c r="AB66" s="1217"/>
      <c r="AC66" s="1217"/>
      <c r="AD66" s="1217"/>
      <c r="AE66" s="1217"/>
      <c r="AF66" s="1217"/>
      <c r="AG66" s="1217"/>
      <c r="AH66" s="1217"/>
      <c r="AI66" s="1217"/>
      <c r="AJ66" s="1217"/>
      <c r="AK66" s="1217"/>
      <c r="AL66" s="1217"/>
      <c r="AM66" s="1217"/>
      <c r="AN66" s="1217"/>
      <c r="AO66" s="1217"/>
      <c r="AP66" s="1217"/>
      <c r="AQ66" s="1217"/>
      <c r="AR66" s="1217"/>
      <c r="AS66" s="1217"/>
      <c r="AT66" s="708"/>
      <c r="AU66" s="708"/>
      <c r="AV66" s="708"/>
      <c r="AW66" s="708"/>
      <c r="AX66" s="708"/>
      <c r="AY66" s="708"/>
      <c r="AZ66" s="708"/>
      <c r="BA66" s="208"/>
      <c r="BB66" s="208"/>
      <c r="BC66" s="208"/>
      <c r="BD66" s="208"/>
      <c r="BE66" s="208"/>
      <c r="BF66" s="208"/>
      <c r="BG66" s="1184"/>
      <c r="BH66" s="1184"/>
      <c r="BI66" s="1184"/>
      <c r="BJ66" s="1184"/>
      <c r="BK66" s="1184"/>
      <c r="BL66" s="1184"/>
      <c r="BM66" s="1184"/>
      <c r="BN66" s="1184"/>
      <c r="BO66" s="1184"/>
      <c r="BP66" s="1184"/>
      <c r="BQ66" s="1184"/>
      <c r="BR66" s="1184"/>
      <c r="BS66" s="1184"/>
      <c r="BT66" s="1184"/>
      <c r="BU66" s="1184"/>
      <c r="BV66" s="1184"/>
      <c r="BW66" s="1184"/>
      <c r="BX66" s="1184"/>
      <c r="BY66" s="1184"/>
      <c r="BZ66" s="208"/>
      <c r="CA66" s="208"/>
      <c r="CB66" s="208"/>
      <c r="CC66" s="208"/>
      <c r="CD66" s="211"/>
    </row>
    <row r="67" ht="18" customHeight="1">
      <c r="A67" s="1216"/>
      <c r="B67" s="1217"/>
      <c r="C67" s="1217"/>
      <c r="D67" s="1217"/>
      <c r="E67" s="1217"/>
      <c r="F67" s="1242"/>
      <c r="G67" s="1217"/>
      <c r="H67" s="1217"/>
      <c r="I67" s="1217"/>
      <c r="J67" s="1217"/>
      <c r="K67" s="1241"/>
      <c r="L67" s="1220"/>
      <c r="M67" s="1216"/>
      <c r="N67" s="1217"/>
      <c r="O67" s="1217"/>
      <c r="P67" s="1217"/>
      <c r="Q67" s="1217"/>
      <c r="R67" s="1217"/>
      <c r="S67" s="1217"/>
      <c r="T67" s="1217"/>
      <c r="U67" s="1217"/>
      <c r="V67" s="1217"/>
      <c r="W67" s="1217"/>
      <c r="X67" s="1217"/>
      <c r="Y67" s="1217"/>
      <c r="Z67" s="1217"/>
      <c r="AA67" s="1217"/>
      <c r="AB67" s="1217"/>
      <c r="AC67" s="1217"/>
      <c r="AD67" s="1217"/>
      <c r="AE67" s="1217"/>
      <c r="AF67" s="1217"/>
      <c r="AG67" s="1217"/>
      <c r="AH67" s="1217"/>
      <c r="AI67" s="1217"/>
      <c r="AJ67" s="1217"/>
      <c r="AK67" s="1217"/>
      <c r="AL67" s="1217"/>
      <c r="AM67" s="1217"/>
      <c r="AN67" s="1217"/>
      <c r="AO67" s="1217"/>
      <c r="AP67" s="1217"/>
      <c r="AQ67" s="1217"/>
      <c r="AR67" s="1217"/>
      <c r="AS67" s="1217"/>
      <c r="AT67" s="708"/>
      <c r="AU67" s="708"/>
      <c r="AV67" s="708"/>
      <c r="AW67" s="708"/>
      <c r="AX67" s="708"/>
      <c r="AY67" s="708"/>
      <c r="AZ67" s="708"/>
      <c r="BA67" s="208"/>
      <c r="BB67" s="208"/>
      <c r="BC67" s="208"/>
      <c r="BD67" s="208"/>
      <c r="BE67" s="208"/>
      <c r="BF67" s="208"/>
      <c r="BG67" s="1184"/>
      <c r="BH67" s="1184"/>
      <c r="BI67" s="1184"/>
      <c r="BJ67" s="1184"/>
      <c r="BK67" s="1184"/>
      <c r="BL67" s="1184"/>
      <c r="BM67" s="1184"/>
      <c r="BN67" s="1184"/>
      <c r="BO67" s="1184"/>
      <c r="BP67" s="1184"/>
      <c r="BQ67" s="1184"/>
      <c r="BR67" s="1184"/>
      <c r="BS67" s="1184"/>
      <c r="BT67" s="1184"/>
      <c r="BU67" s="1184"/>
      <c r="BV67" s="1184"/>
      <c r="BW67" s="1184"/>
      <c r="BX67" s="1184"/>
      <c r="BY67" s="1184"/>
      <c r="BZ67" s="208"/>
      <c r="CA67" s="208"/>
      <c r="CB67" s="208"/>
      <c r="CC67" s="208"/>
      <c r="CD67" s="211"/>
    </row>
    <row r="68" ht="18" customHeight="1">
      <c r="A68" s="1216"/>
      <c r="B68" t="s" s="1230">
        <v>967</v>
      </c>
      <c r="C68" s="1223"/>
      <c r="D68" s="1223"/>
      <c r="E68" s="1217"/>
      <c r="F68" s="1243">
        <f>SUM(F64:F66)</f>
        <v>1012770</v>
      </c>
      <c r="G68" s="1217"/>
      <c r="H68" s="1217"/>
      <c r="I68" s="1217"/>
      <c r="J68" s="1217"/>
      <c r="K68" s="1243"/>
      <c r="L68" s="1220"/>
      <c r="M68" s="1216"/>
      <c r="N68" s="1217"/>
      <c r="O68" s="1217"/>
      <c r="P68" s="1217"/>
      <c r="Q68" s="1217"/>
      <c r="R68" s="1217"/>
      <c r="S68" s="1217"/>
      <c r="T68" s="1217"/>
      <c r="U68" s="1217"/>
      <c r="V68" s="1217"/>
      <c r="W68" s="1217"/>
      <c r="X68" s="1217"/>
      <c r="Y68" s="1217"/>
      <c r="Z68" s="1217"/>
      <c r="AA68" s="1217"/>
      <c r="AB68" s="1217"/>
      <c r="AC68" s="1217"/>
      <c r="AD68" s="1217"/>
      <c r="AE68" s="1217"/>
      <c r="AF68" s="1217"/>
      <c r="AG68" s="1217"/>
      <c r="AH68" s="1217"/>
      <c r="AI68" s="1217"/>
      <c r="AJ68" s="1217"/>
      <c r="AK68" s="1217"/>
      <c r="AL68" s="1217"/>
      <c r="AM68" s="1217"/>
      <c r="AN68" s="1217"/>
      <c r="AO68" s="1217"/>
      <c r="AP68" s="1217"/>
      <c r="AQ68" s="1217"/>
      <c r="AR68" s="1217"/>
      <c r="AS68" s="1217"/>
      <c r="AT68" s="708"/>
      <c r="AU68" s="708"/>
      <c r="AV68" s="708"/>
      <c r="AW68" s="708"/>
      <c r="AX68" s="708"/>
      <c r="AY68" s="708"/>
      <c r="AZ68" s="708"/>
      <c r="BA68" s="208"/>
      <c r="BB68" s="208"/>
      <c r="BC68" s="208"/>
      <c r="BD68" s="208"/>
      <c r="BE68" s="208"/>
      <c r="BF68" s="208"/>
      <c r="BG68" s="1184"/>
      <c r="BH68" s="1184"/>
      <c r="BI68" s="1184"/>
      <c r="BJ68" s="1184"/>
      <c r="BK68" s="1184"/>
      <c r="BL68" s="1184"/>
      <c r="BM68" s="1184"/>
      <c r="BN68" s="1184"/>
      <c r="BO68" s="1184"/>
      <c r="BP68" s="1184"/>
      <c r="BQ68" s="1184"/>
      <c r="BR68" s="1184"/>
      <c r="BS68" s="1184"/>
      <c r="BT68" s="1184"/>
      <c r="BU68" s="1184"/>
      <c r="BV68" s="1184"/>
      <c r="BW68" s="1184"/>
      <c r="BX68" s="1184"/>
      <c r="BY68" s="1184"/>
      <c r="BZ68" s="208"/>
      <c r="CA68" s="208"/>
      <c r="CB68" s="208"/>
      <c r="CC68" s="208"/>
      <c r="CD68" s="211"/>
    </row>
    <row r="69" ht="18" customHeight="1">
      <c r="A69" s="1216"/>
      <c r="B69" s="1217"/>
      <c r="C69" s="1217"/>
      <c r="D69" s="1217"/>
      <c r="E69" s="1217"/>
      <c r="F69" s="1214"/>
      <c r="G69" s="1217"/>
      <c r="H69" s="1217"/>
      <c r="I69" s="1217"/>
      <c r="J69" s="1217"/>
      <c r="K69" s="1214"/>
      <c r="L69" s="1220"/>
      <c r="M69" s="1216"/>
      <c r="N69" s="1217"/>
      <c r="O69" s="1217"/>
      <c r="P69" s="1217"/>
      <c r="Q69" s="1217"/>
      <c r="R69" s="1217"/>
      <c r="S69" s="1217"/>
      <c r="T69" s="1217"/>
      <c r="U69" s="1217"/>
      <c r="V69" s="1217"/>
      <c r="W69" s="1217"/>
      <c r="X69" s="1217"/>
      <c r="Y69" s="1217"/>
      <c r="Z69" s="1217"/>
      <c r="AA69" s="1217"/>
      <c r="AB69" s="1217"/>
      <c r="AC69" s="1217"/>
      <c r="AD69" s="1217"/>
      <c r="AE69" s="1217"/>
      <c r="AF69" s="1217"/>
      <c r="AG69" s="1217"/>
      <c r="AH69" s="1217"/>
      <c r="AI69" s="1217"/>
      <c r="AJ69" s="1217"/>
      <c r="AK69" s="1217"/>
      <c r="AL69" s="1217"/>
      <c r="AM69" s="1217"/>
      <c r="AN69" s="1217"/>
      <c r="AO69" s="1217"/>
      <c r="AP69" s="1217"/>
      <c r="AQ69" s="1217"/>
      <c r="AR69" s="1217"/>
      <c r="AS69" s="1217"/>
      <c r="AT69" s="708"/>
      <c r="AU69" s="708"/>
      <c r="AV69" s="708"/>
      <c r="AW69" s="708"/>
      <c r="AX69" s="708"/>
      <c r="AY69" s="708"/>
      <c r="AZ69" s="708"/>
      <c r="BA69" s="208"/>
      <c r="BB69" s="208"/>
      <c r="BC69" s="208"/>
      <c r="BD69" s="208"/>
      <c r="BE69" s="208"/>
      <c r="BF69" s="208"/>
      <c r="BG69" s="1184"/>
      <c r="BH69" s="1184"/>
      <c r="BI69" s="1184"/>
      <c r="BJ69" s="1184"/>
      <c r="BK69" s="1184"/>
      <c r="BL69" s="1184"/>
      <c r="BM69" s="1184"/>
      <c r="BN69" s="1184"/>
      <c r="BO69" s="1184"/>
      <c r="BP69" s="1184"/>
      <c r="BQ69" s="1184"/>
      <c r="BR69" s="1184"/>
      <c r="BS69" s="1184"/>
      <c r="BT69" s="1184"/>
      <c r="BU69" s="1184"/>
      <c r="BV69" s="1184"/>
      <c r="BW69" s="1184"/>
      <c r="BX69" s="1184"/>
      <c r="BY69" s="1184"/>
      <c r="BZ69" s="208"/>
      <c r="CA69" s="208"/>
      <c r="CB69" s="208"/>
      <c r="CC69" s="208"/>
      <c r="CD69" s="211"/>
    </row>
    <row r="70" ht="18" customHeight="1">
      <c r="A70" s="1216"/>
      <c r="B70" s="1217"/>
      <c r="C70" s="1217"/>
      <c r="D70" s="1217"/>
      <c r="E70" s="1217"/>
      <c r="F70" s="1217"/>
      <c r="G70" s="1217"/>
      <c r="H70" s="1217"/>
      <c r="I70" s="1217"/>
      <c r="J70" s="1217"/>
      <c r="K70" s="1217"/>
      <c r="L70" s="1220"/>
      <c r="M70" s="1216"/>
      <c r="N70" s="1217"/>
      <c r="O70" s="1217"/>
      <c r="P70" s="1217"/>
      <c r="Q70" s="1217"/>
      <c r="R70" s="1217"/>
      <c r="S70" s="1217"/>
      <c r="T70" s="1217"/>
      <c r="U70" s="1217"/>
      <c r="V70" s="1217"/>
      <c r="W70" s="1217"/>
      <c r="X70" s="1217"/>
      <c r="Y70" s="1217"/>
      <c r="Z70" s="1217"/>
      <c r="AA70" s="1217"/>
      <c r="AB70" s="1217"/>
      <c r="AC70" s="1217"/>
      <c r="AD70" s="1217"/>
      <c r="AE70" s="1217"/>
      <c r="AF70" s="1217"/>
      <c r="AG70" s="1217"/>
      <c r="AH70" s="1217"/>
      <c r="AI70" s="1217"/>
      <c r="AJ70" s="1217"/>
      <c r="AK70" s="1217"/>
      <c r="AL70" s="1217"/>
      <c r="AM70" s="1217"/>
      <c r="AN70" s="1217"/>
      <c r="AO70" s="1217"/>
      <c r="AP70" s="1217"/>
      <c r="AQ70" s="1217"/>
      <c r="AR70" s="1217"/>
      <c r="AS70" s="1217"/>
      <c r="AT70" s="708"/>
      <c r="AU70" s="708"/>
      <c r="AV70" s="708"/>
      <c r="AW70" s="708"/>
      <c r="AX70" s="708"/>
      <c r="AY70" s="708"/>
      <c r="AZ70" s="708"/>
      <c r="BA70" s="208"/>
      <c r="BB70" s="208"/>
      <c r="BC70" s="208"/>
      <c r="BD70" s="208"/>
      <c r="BE70" s="208"/>
      <c r="BF70" s="208"/>
      <c r="BG70" s="1184"/>
      <c r="BH70" s="1184"/>
      <c r="BI70" s="1184"/>
      <c r="BJ70" s="1184"/>
      <c r="BK70" s="1184"/>
      <c r="BL70" s="1184"/>
      <c r="BM70" s="1184"/>
      <c r="BN70" s="1184"/>
      <c r="BO70" s="1184"/>
      <c r="BP70" s="1184"/>
      <c r="BQ70" s="1184"/>
      <c r="BR70" s="1184"/>
      <c r="BS70" s="1184"/>
      <c r="BT70" s="1184"/>
      <c r="BU70" s="1184"/>
      <c r="BV70" s="1184"/>
      <c r="BW70" s="1184"/>
      <c r="BX70" s="1184"/>
      <c r="BY70" s="1184"/>
      <c r="BZ70" s="208"/>
      <c r="CA70" s="208"/>
      <c r="CB70" s="208"/>
      <c r="CC70" s="208"/>
      <c r="CD70" s="211"/>
    </row>
    <row r="71" ht="18" customHeight="1">
      <c r="A71" s="1216"/>
      <c r="B71" s="1217"/>
      <c r="C71" s="1217"/>
      <c r="D71" s="1217"/>
      <c r="E71" s="1217"/>
      <c r="F71" s="1217"/>
      <c r="G71" s="1217"/>
      <c r="H71" s="1217"/>
      <c r="I71" s="1217"/>
      <c r="J71" s="1217"/>
      <c r="K71" s="1217"/>
      <c r="L71" s="1220"/>
      <c r="M71" s="1216"/>
      <c r="N71" s="1217"/>
      <c r="O71" s="1217"/>
      <c r="P71" s="1217"/>
      <c r="Q71" s="1217"/>
      <c r="R71" s="1217"/>
      <c r="S71" s="1217"/>
      <c r="T71" s="1217"/>
      <c r="U71" s="1217"/>
      <c r="V71" s="1217"/>
      <c r="W71" s="1217"/>
      <c r="X71" s="1217"/>
      <c r="Y71" s="1217"/>
      <c r="Z71" s="1217"/>
      <c r="AA71" s="1217"/>
      <c r="AB71" s="1217"/>
      <c r="AC71" s="1217"/>
      <c r="AD71" s="1217"/>
      <c r="AE71" s="1217"/>
      <c r="AF71" s="1217"/>
      <c r="AG71" s="1217"/>
      <c r="AH71" s="1217"/>
      <c r="AI71" s="1217"/>
      <c r="AJ71" s="1217"/>
      <c r="AK71" s="1217"/>
      <c r="AL71" s="1217"/>
      <c r="AM71" s="1217"/>
      <c r="AN71" s="1217"/>
      <c r="AO71" s="1217"/>
      <c r="AP71" s="1217"/>
      <c r="AQ71" s="1217"/>
      <c r="AR71" s="1217"/>
      <c r="AS71" s="1217"/>
      <c r="AT71" s="708"/>
      <c r="AU71" s="708"/>
      <c r="AV71" s="708"/>
      <c r="AW71" s="708"/>
      <c r="AX71" s="708"/>
      <c r="AY71" s="708"/>
      <c r="AZ71" s="708"/>
      <c r="BA71" s="208"/>
      <c r="BB71" s="208"/>
      <c r="BC71" s="208"/>
      <c r="BD71" s="208"/>
      <c r="BE71" s="208"/>
      <c r="BF71" s="208"/>
      <c r="BG71" s="1184"/>
      <c r="BH71" s="1184"/>
      <c r="BI71" s="1184"/>
      <c r="BJ71" s="1184"/>
      <c r="BK71" s="1184"/>
      <c r="BL71" s="1184"/>
      <c r="BM71" s="1184"/>
      <c r="BN71" s="1184"/>
      <c r="BO71" s="1184"/>
      <c r="BP71" s="1184"/>
      <c r="BQ71" s="1184"/>
      <c r="BR71" s="1184"/>
      <c r="BS71" s="1184"/>
      <c r="BT71" s="1184"/>
      <c r="BU71" s="1184"/>
      <c r="BV71" s="1184"/>
      <c r="BW71" s="1184"/>
      <c r="BX71" s="1184"/>
      <c r="BY71" s="1184"/>
      <c r="BZ71" s="208"/>
      <c r="CA71" s="208"/>
      <c r="CB71" s="208"/>
      <c r="CC71" s="208"/>
      <c r="CD71" s="211"/>
    </row>
    <row r="72" ht="18" customHeight="1">
      <c r="A72" s="1216"/>
      <c r="B72" s="1217"/>
      <c r="C72" s="1217"/>
      <c r="D72" s="1217"/>
      <c r="E72" s="1217"/>
      <c r="F72" s="1217"/>
      <c r="G72" s="1217"/>
      <c r="H72" s="1217"/>
      <c r="I72" s="1217"/>
      <c r="J72" s="1217"/>
      <c r="K72" s="1217"/>
      <c r="L72" s="1220"/>
      <c r="M72" s="1216"/>
      <c r="N72" s="1217"/>
      <c r="O72" s="1217"/>
      <c r="P72" s="1217"/>
      <c r="Q72" s="1217"/>
      <c r="R72" s="1217"/>
      <c r="S72" s="1217"/>
      <c r="T72" s="1217"/>
      <c r="U72" s="1217"/>
      <c r="V72" s="1217"/>
      <c r="W72" s="1217"/>
      <c r="X72" s="1217"/>
      <c r="Y72" s="1217"/>
      <c r="Z72" s="1217"/>
      <c r="AA72" s="1217"/>
      <c r="AB72" s="1217"/>
      <c r="AC72" s="1217"/>
      <c r="AD72" s="1217"/>
      <c r="AE72" s="1217"/>
      <c r="AF72" s="1217"/>
      <c r="AG72" s="1217"/>
      <c r="AH72" s="1217"/>
      <c r="AI72" s="1217"/>
      <c r="AJ72" s="1217"/>
      <c r="AK72" s="1217"/>
      <c r="AL72" s="1217"/>
      <c r="AM72" s="1217"/>
      <c r="AN72" s="1217"/>
      <c r="AO72" s="1217"/>
      <c r="AP72" s="1217"/>
      <c r="AQ72" s="1217"/>
      <c r="AR72" s="1217"/>
      <c r="AS72" s="1217"/>
      <c r="AT72" s="708"/>
      <c r="AU72" s="708"/>
      <c r="AV72" s="708"/>
      <c r="AW72" s="708"/>
      <c r="AX72" s="708"/>
      <c r="AY72" s="708"/>
      <c r="AZ72" s="708"/>
      <c r="BA72" s="208"/>
      <c r="BB72" s="208"/>
      <c r="BC72" s="208"/>
      <c r="BD72" s="208"/>
      <c r="BE72" s="208"/>
      <c r="BF72" s="208"/>
      <c r="BG72" s="1184"/>
      <c r="BH72" s="1184"/>
      <c r="BI72" s="1184"/>
      <c r="BJ72" s="1184"/>
      <c r="BK72" s="1184"/>
      <c r="BL72" s="1184"/>
      <c r="BM72" s="1184"/>
      <c r="BN72" s="1184"/>
      <c r="BO72" s="1184"/>
      <c r="BP72" s="1184"/>
      <c r="BQ72" s="1184"/>
      <c r="BR72" s="1184"/>
      <c r="BS72" s="1184"/>
      <c r="BT72" s="1184"/>
      <c r="BU72" s="1184"/>
      <c r="BV72" s="1184"/>
      <c r="BW72" s="1184"/>
      <c r="BX72" s="1184"/>
      <c r="BY72" s="1184"/>
      <c r="BZ72" s="208"/>
      <c r="CA72" s="208"/>
      <c r="CB72" s="208"/>
      <c r="CC72" s="208"/>
      <c r="CD72" s="211"/>
    </row>
    <row r="73" ht="18" customHeight="1">
      <c r="A73" s="1216"/>
      <c r="B73" t="s" s="1246">
        <v>1119</v>
      </c>
      <c r="C73" s="1219"/>
      <c r="D73" s="1219"/>
      <c r="E73" s="1217"/>
      <c r="F73" s="1217"/>
      <c r="G73" s="1217"/>
      <c r="H73" s="1217"/>
      <c r="I73" s="1217"/>
      <c r="J73" s="1217"/>
      <c r="K73" s="1217"/>
      <c r="L73" s="1220"/>
      <c r="M73" s="1216"/>
      <c r="N73" s="1217"/>
      <c r="O73" s="1217"/>
      <c r="P73" s="1217"/>
      <c r="Q73" s="1217"/>
      <c r="R73" s="1217"/>
      <c r="S73" s="1217"/>
      <c r="T73" s="1217"/>
      <c r="U73" s="1217"/>
      <c r="V73" s="1217"/>
      <c r="W73" s="1217"/>
      <c r="X73" s="1217"/>
      <c r="Y73" s="1217"/>
      <c r="Z73" s="1217"/>
      <c r="AA73" s="1217"/>
      <c r="AB73" s="1217"/>
      <c r="AC73" s="1217"/>
      <c r="AD73" s="1217"/>
      <c r="AE73" s="1217"/>
      <c r="AF73" s="1217"/>
      <c r="AG73" s="1217"/>
      <c r="AH73" s="1217"/>
      <c r="AI73" s="1217"/>
      <c r="AJ73" s="1217"/>
      <c r="AK73" s="1217"/>
      <c r="AL73" s="1217"/>
      <c r="AM73" s="1217"/>
      <c r="AN73" s="1217"/>
      <c r="AO73" s="1217"/>
      <c r="AP73" s="1217"/>
      <c r="AQ73" s="1217"/>
      <c r="AR73" s="1217"/>
      <c r="AS73" s="1217"/>
      <c r="AT73" s="708"/>
      <c r="AU73" s="708"/>
      <c r="AV73" s="708"/>
      <c r="AW73" s="708"/>
      <c r="AX73" s="708"/>
      <c r="AY73" s="708"/>
      <c r="AZ73" s="708"/>
      <c r="BA73" s="208"/>
      <c r="BB73" s="208"/>
      <c r="BC73" s="208"/>
      <c r="BD73" s="208"/>
      <c r="BE73" s="208"/>
      <c r="BF73" s="208"/>
      <c r="BG73" s="1184"/>
      <c r="BH73" s="1184"/>
      <c r="BI73" s="1184"/>
      <c r="BJ73" s="1184"/>
      <c r="BK73" s="1184"/>
      <c r="BL73" s="1184"/>
      <c r="BM73" s="1184"/>
      <c r="BN73" s="1184"/>
      <c r="BO73" s="1184"/>
      <c r="BP73" s="1184"/>
      <c r="BQ73" s="1184"/>
      <c r="BR73" s="1184"/>
      <c r="BS73" s="1184"/>
      <c r="BT73" s="1184"/>
      <c r="BU73" s="1184"/>
      <c r="BV73" s="1184"/>
      <c r="BW73" s="1184"/>
      <c r="BX73" s="1184"/>
      <c r="BY73" s="1184"/>
      <c r="BZ73" s="208"/>
      <c r="CA73" s="208"/>
      <c r="CB73" s="208"/>
      <c r="CC73" s="208"/>
      <c r="CD73" s="211"/>
    </row>
    <row r="74" ht="18" customHeight="1">
      <c r="A74" s="1216"/>
      <c r="B74" s="1217"/>
      <c r="C74" s="1242"/>
      <c r="D74" s="1242"/>
      <c r="E74" s="1242"/>
      <c r="F74" s="1242"/>
      <c r="G74" s="1217"/>
      <c r="H74" s="1217"/>
      <c r="I74" s="1217"/>
      <c r="J74" s="1217"/>
      <c r="K74" s="1242"/>
      <c r="L74" s="1220"/>
      <c r="M74" s="1216"/>
      <c r="N74" s="1217"/>
      <c r="O74" s="1217"/>
      <c r="P74" s="1217"/>
      <c r="Q74" s="1217"/>
      <c r="R74" s="1217"/>
      <c r="S74" s="1217"/>
      <c r="T74" s="1217"/>
      <c r="U74" s="1217"/>
      <c r="V74" s="1217"/>
      <c r="W74" s="1217"/>
      <c r="X74" s="1217"/>
      <c r="Y74" s="1217"/>
      <c r="Z74" s="1217"/>
      <c r="AA74" s="1217"/>
      <c r="AB74" s="1217"/>
      <c r="AC74" s="1217"/>
      <c r="AD74" s="1217"/>
      <c r="AE74" s="1217"/>
      <c r="AF74" s="1217"/>
      <c r="AG74" s="1217"/>
      <c r="AH74" s="1217"/>
      <c r="AI74" s="1217"/>
      <c r="AJ74" s="1217"/>
      <c r="AK74" s="1217"/>
      <c r="AL74" s="1217"/>
      <c r="AM74" s="1217"/>
      <c r="AN74" s="1217"/>
      <c r="AO74" s="1217"/>
      <c r="AP74" s="1217"/>
      <c r="AQ74" s="1217"/>
      <c r="AR74" s="1217"/>
      <c r="AS74" s="1217"/>
      <c r="AT74" s="708"/>
      <c r="AU74" s="708"/>
      <c r="AV74" s="708"/>
      <c r="AW74" s="708"/>
      <c r="AX74" s="708"/>
      <c r="AY74" s="708"/>
      <c r="AZ74" s="708"/>
      <c r="BA74" s="208"/>
      <c r="BB74" s="208"/>
      <c r="BC74" s="208"/>
      <c r="BD74" s="208"/>
      <c r="BE74" s="208"/>
      <c r="BF74" s="208"/>
      <c r="BG74" s="1184"/>
      <c r="BH74" s="1184"/>
      <c r="BI74" s="1184"/>
      <c r="BJ74" s="1184"/>
      <c r="BK74" s="1184"/>
      <c r="BL74" s="1184"/>
      <c r="BM74" s="1184"/>
      <c r="BN74" s="1184"/>
      <c r="BO74" s="1184"/>
      <c r="BP74" s="1184"/>
      <c r="BQ74" s="1184"/>
      <c r="BR74" s="1184"/>
      <c r="BS74" s="1184"/>
      <c r="BT74" s="1184"/>
      <c r="BU74" s="1184"/>
      <c r="BV74" s="1184"/>
      <c r="BW74" s="1184"/>
      <c r="BX74" s="1184"/>
      <c r="BY74" s="1184"/>
      <c r="BZ74" s="208"/>
      <c r="CA74" s="208"/>
      <c r="CB74" s="208"/>
      <c r="CC74" s="208"/>
      <c r="CD74" s="211"/>
    </row>
    <row r="75" ht="18" customHeight="1">
      <c r="A75" s="1216"/>
      <c r="B75" t="s" s="1247">
        <v>962</v>
      </c>
      <c r="C75" t="s" s="1248">
        <v>1120</v>
      </c>
      <c r="D75" s="1249"/>
      <c r="E75" s="1249"/>
      <c r="F75" s="1250"/>
      <c r="G75" s="1216"/>
      <c r="H75" s="1251"/>
      <c r="I75" s="1251"/>
      <c r="J75" s="1252"/>
      <c r="K75" s="1253"/>
      <c r="L75" t="s" s="1254">
        <v>1121</v>
      </c>
      <c r="M75" s="1216"/>
      <c r="N75" s="1217"/>
      <c r="O75" s="1217"/>
      <c r="P75" s="1217"/>
      <c r="Q75" s="1217"/>
      <c r="R75" s="1217"/>
      <c r="S75" s="1217"/>
      <c r="T75" s="1217"/>
      <c r="U75" s="1217"/>
      <c r="V75" s="1217"/>
      <c r="W75" s="1217"/>
      <c r="X75" s="1217"/>
      <c r="Y75" s="1217"/>
      <c r="Z75" s="1217"/>
      <c r="AA75" s="1217"/>
      <c r="AB75" s="1217"/>
      <c r="AC75" s="1217"/>
      <c r="AD75" s="1217"/>
      <c r="AE75" s="1217"/>
      <c r="AF75" s="1217"/>
      <c r="AG75" s="1217"/>
      <c r="AH75" s="1217"/>
      <c r="AI75" s="1217"/>
      <c r="AJ75" s="1217"/>
      <c r="AK75" s="1217"/>
      <c r="AL75" s="1217"/>
      <c r="AM75" s="1217"/>
      <c r="AN75" s="1217"/>
      <c r="AO75" s="1217"/>
      <c r="AP75" s="1217"/>
      <c r="AQ75" s="1217"/>
      <c r="AR75" s="1217"/>
      <c r="AS75" s="1217"/>
      <c r="AT75" s="708"/>
      <c r="AU75" s="708"/>
      <c r="AV75" s="708"/>
      <c r="AW75" s="708"/>
      <c r="AX75" s="708"/>
      <c r="AY75" s="708"/>
      <c r="AZ75" s="708"/>
      <c r="BA75" s="208"/>
      <c r="BB75" s="208"/>
      <c r="BC75" s="208"/>
      <c r="BD75" s="208"/>
      <c r="BE75" s="208"/>
      <c r="BF75" s="208"/>
      <c r="BG75" s="1184"/>
      <c r="BH75" s="1184"/>
      <c r="BI75" s="1184"/>
      <c r="BJ75" s="1184"/>
      <c r="BK75" s="1184"/>
      <c r="BL75" s="1184"/>
      <c r="BM75" s="1184"/>
      <c r="BN75" s="1184"/>
      <c r="BO75" s="1184"/>
      <c r="BP75" s="1184"/>
      <c r="BQ75" s="1184"/>
      <c r="BR75" s="1184"/>
      <c r="BS75" s="1184"/>
      <c r="BT75" s="1184"/>
      <c r="BU75" s="1184"/>
      <c r="BV75" s="1184"/>
      <c r="BW75" s="1184"/>
      <c r="BX75" s="1184"/>
      <c r="BY75" s="1184"/>
      <c r="BZ75" s="208"/>
      <c r="CA75" s="208"/>
      <c r="CB75" s="208"/>
      <c r="CC75" s="208"/>
      <c r="CD75" s="211"/>
    </row>
    <row r="76" ht="18" customHeight="1">
      <c r="A76" s="1216"/>
      <c r="B76" s="1217"/>
      <c r="C76" s="1255"/>
      <c r="D76" s="1255"/>
      <c r="E76" s="1255"/>
      <c r="F76" s="1255"/>
      <c r="G76" s="1217"/>
      <c r="H76" s="1217"/>
      <c r="I76" s="1217"/>
      <c r="J76" s="1217"/>
      <c r="K76" s="1255"/>
      <c r="L76" s="1220"/>
      <c r="M76" s="1216"/>
      <c r="N76" s="1217"/>
      <c r="O76" s="1217"/>
      <c r="P76" s="1217"/>
      <c r="Q76" s="1217"/>
      <c r="R76" s="1217"/>
      <c r="S76" s="1217"/>
      <c r="T76" s="1217"/>
      <c r="U76" s="1217"/>
      <c r="V76" s="1217"/>
      <c r="W76" s="1217"/>
      <c r="X76" s="1217"/>
      <c r="Y76" s="1217"/>
      <c r="Z76" s="1217"/>
      <c r="AA76" s="1217"/>
      <c r="AB76" s="1217"/>
      <c r="AC76" s="1217"/>
      <c r="AD76" s="1217"/>
      <c r="AE76" s="1217"/>
      <c r="AF76" s="1217"/>
      <c r="AG76" s="1217"/>
      <c r="AH76" s="1217"/>
      <c r="AI76" s="1217"/>
      <c r="AJ76" s="1217"/>
      <c r="AK76" s="1217"/>
      <c r="AL76" s="1217"/>
      <c r="AM76" s="1217"/>
      <c r="AN76" s="1217"/>
      <c r="AO76" s="1217"/>
      <c r="AP76" s="1217"/>
      <c r="AQ76" s="1217"/>
      <c r="AR76" s="1217"/>
      <c r="AS76" s="1217"/>
      <c r="AT76" s="708"/>
      <c r="AU76" s="708"/>
      <c r="AV76" s="708"/>
      <c r="AW76" s="708"/>
      <c r="AX76" s="708"/>
      <c r="AY76" s="708"/>
      <c r="AZ76" s="708"/>
      <c r="BA76" s="208"/>
      <c r="BB76" s="208"/>
      <c r="BC76" s="208"/>
      <c r="BD76" s="208"/>
      <c r="BE76" s="208"/>
      <c r="BF76" s="208"/>
      <c r="BG76" s="1184"/>
      <c r="BH76" s="1184"/>
      <c r="BI76" s="1184"/>
      <c r="BJ76" s="1184"/>
      <c r="BK76" s="1184"/>
      <c r="BL76" s="1184"/>
      <c r="BM76" s="1184"/>
      <c r="BN76" s="1184"/>
      <c r="BO76" s="1184"/>
      <c r="BP76" s="1184"/>
      <c r="BQ76" s="1184"/>
      <c r="BR76" s="1184"/>
      <c r="BS76" s="1184"/>
      <c r="BT76" s="1184"/>
      <c r="BU76" s="1184"/>
      <c r="BV76" s="1184"/>
      <c r="BW76" s="1184"/>
      <c r="BX76" s="1184"/>
      <c r="BY76" s="1184"/>
      <c r="BZ76" s="208"/>
      <c r="CA76" s="208"/>
      <c r="CB76" s="208"/>
      <c r="CC76" s="208"/>
      <c r="CD76" s="211"/>
    </row>
    <row r="77" ht="18" customHeight="1">
      <c r="A77" s="1216"/>
      <c r="B77" t="s" s="1247">
        <v>964</v>
      </c>
      <c r="C77" t="s" s="1248">
        <v>928</v>
      </c>
      <c r="D77" s="1249"/>
      <c r="E77" s="1249"/>
      <c r="F77" s="1250"/>
      <c r="G77" s="1216"/>
      <c r="H77" s="1217"/>
      <c r="I77" s="1217"/>
      <c r="J77" s="1220"/>
      <c r="K77" s="1253"/>
      <c r="L77" t="s" s="1254">
        <v>1121</v>
      </c>
      <c r="M77" s="1216"/>
      <c r="N77" s="1217"/>
      <c r="O77" s="1217"/>
      <c r="P77" s="1217"/>
      <c r="Q77" s="1217"/>
      <c r="R77" s="1217"/>
      <c r="S77" s="1217"/>
      <c r="T77" s="1217"/>
      <c r="U77" s="1217"/>
      <c r="V77" s="1217"/>
      <c r="W77" s="1217"/>
      <c r="X77" s="1217"/>
      <c r="Y77" s="1217"/>
      <c r="Z77" s="1217"/>
      <c r="AA77" s="1217"/>
      <c r="AB77" s="1217"/>
      <c r="AC77" s="1217"/>
      <c r="AD77" s="1217"/>
      <c r="AE77" s="1217"/>
      <c r="AF77" s="1217"/>
      <c r="AG77" s="1217"/>
      <c r="AH77" s="1217"/>
      <c r="AI77" s="1217"/>
      <c r="AJ77" s="1217"/>
      <c r="AK77" s="1217"/>
      <c r="AL77" s="1217"/>
      <c r="AM77" s="1217"/>
      <c r="AN77" s="1217"/>
      <c r="AO77" s="1217"/>
      <c r="AP77" s="1217"/>
      <c r="AQ77" s="1217"/>
      <c r="AR77" s="1217"/>
      <c r="AS77" s="1217"/>
      <c r="AT77" s="708"/>
      <c r="AU77" s="708"/>
      <c r="AV77" s="708"/>
      <c r="AW77" s="708"/>
      <c r="AX77" s="708"/>
      <c r="AY77" s="708"/>
      <c r="AZ77" s="708"/>
      <c r="BA77" s="208"/>
      <c r="BB77" s="208"/>
      <c r="BC77" s="208"/>
      <c r="BD77" s="208"/>
      <c r="BE77" s="208"/>
      <c r="BF77" s="208"/>
      <c r="BG77" s="1184"/>
      <c r="BH77" s="1184"/>
      <c r="BI77" s="1184"/>
      <c r="BJ77" s="1184"/>
      <c r="BK77" s="1184"/>
      <c r="BL77" s="1184"/>
      <c r="BM77" s="1184"/>
      <c r="BN77" s="1184"/>
      <c r="BO77" s="1184"/>
      <c r="BP77" s="1184"/>
      <c r="BQ77" s="1184"/>
      <c r="BR77" s="1184"/>
      <c r="BS77" s="1184"/>
      <c r="BT77" s="1184"/>
      <c r="BU77" s="1184"/>
      <c r="BV77" s="1184"/>
      <c r="BW77" s="1184"/>
      <c r="BX77" s="1184"/>
      <c r="BY77" s="1184"/>
      <c r="BZ77" s="208"/>
      <c r="CA77" s="208"/>
      <c r="CB77" s="208"/>
      <c r="CC77" s="208"/>
      <c r="CD77" s="211"/>
    </row>
    <row r="78" ht="18" customHeight="1">
      <c r="A78" s="1216"/>
      <c r="B78" s="1217"/>
      <c r="C78" s="1214"/>
      <c r="D78" s="1214"/>
      <c r="E78" s="1214"/>
      <c r="F78" s="1255"/>
      <c r="G78" s="1217"/>
      <c r="H78" s="1217"/>
      <c r="I78" s="1217"/>
      <c r="J78" s="1217"/>
      <c r="K78" s="1214"/>
      <c r="L78" s="1220"/>
      <c r="M78" s="1216"/>
      <c r="N78" s="1217"/>
      <c r="O78" s="1217"/>
      <c r="P78" s="1217"/>
      <c r="Q78" s="1217"/>
      <c r="R78" s="1217"/>
      <c r="S78" s="1217"/>
      <c r="T78" s="1217"/>
      <c r="U78" s="1217"/>
      <c r="V78" s="1217"/>
      <c r="W78" s="1217"/>
      <c r="X78" s="1217"/>
      <c r="Y78" s="1217"/>
      <c r="Z78" s="1217"/>
      <c r="AA78" s="1217"/>
      <c r="AB78" s="1217"/>
      <c r="AC78" s="1217"/>
      <c r="AD78" s="1217"/>
      <c r="AE78" s="1217"/>
      <c r="AF78" s="1217"/>
      <c r="AG78" s="1217"/>
      <c r="AH78" s="1217"/>
      <c r="AI78" s="1217"/>
      <c r="AJ78" s="1217"/>
      <c r="AK78" s="1217"/>
      <c r="AL78" s="1217"/>
      <c r="AM78" s="1217"/>
      <c r="AN78" s="1217"/>
      <c r="AO78" s="1217"/>
      <c r="AP78" s="1217"/>
      <c r="AQ78" s="1217"/>
      <c r="AR78" s="1217"/>
      <c r="AS78" s="1217"/>
      <c r="AT78" s="708"/>
      <c r="AU78" s="708"/>
      <c r="AV78" s="708"/>
      <c r="AW78" s="708"/>
      <c r="AX78" s="708"/>
      <c r="AY78" s="708"/>
      <c r="AZ78" s="708"/>
      <c r="BA78" s="208"/>
      <c r="BB78" s="208"/>
      <c r="BC78" s="208"/>
      <c r="BD78" s="208"/>
      <c r="BE78" s="208"/>
      <c r="BF78" s="208"/>
      <c r="BG78" s="1184"/>
      <c r="BH78" s="1184"/>
      <c r="BI78" s="1184"/>
      <c r="BJ78" s="1184"/>
      <c r="BK78" s="1184"/>
      <c r="BL78" s="1184"/>
      <c r="BM78" s="1184"/>
      <c r="BN78" s="1184"/>
      <c r="BO78" s="1184"/>
      <c r="BP78" s="1184"/>
      <c r="BQ78" s="1184"/>
      <c r="BR78" s="1184"/>
      <c r="BS78" s="1184"/>
      <c r="BT78" s="1184"/>
      <c r="BU78" s="1184"/>
      <c r="BV78" s="1184"/>
      <c r="BW78" s="1184"/>
      <c r="BX78" s="1184"/>
      <c r="BY78" s="1184"/>
      <c r="BZ78" s="208"/>
      <c r="CA78" s="208"/>
      <c r="CB78" s="208"/>
      <c r="CC78" s="208"/>
      <c r="CD78" s="211"/>
    </row>
    <row r="79" ht="18" customHeight="1">
      <c r="A79" s="1216"/>
      <c r="B79" t="s" s="1256">
        <v>1122</v>
      </c>
      <c r="C79" t="s" s="1221">
        <v>1123</v>
      </c>
      <c r="D79" s="1217"/>
      <c r="E79" t="s" s="1247">
        <v>1124</v>
      </c>
      <c r="F79" s="1257"/>
      <c r="G79" s="1258">
        <f>D79*F79</f>
        <v>0</v>
      </c>
      <c r="H79" s="1259"/>
      <c r="I79" s="1259"/>
      <c r="J79" s="1217"/>
      <c r="K79" s="1217"/>
      <c r="L79" s="1220"/>
      <c r="M79" s="1216"/>
      <c r="N79" s="1217"/>
      <c r="O79" s="1217"/>
      <c r="P79" s="1217"/>
      <c r="Q79" s="1217"/>
      <c r="R79" s="1217"/>
      <c r="S79" s="1217"/>
      <c r="T79" s="1217"/>
      <c r="U79" s="1217"/>
      <c r="V79" s="1217"/>
      <c r="W79" s="1217"/>
      <c r="X79" s="1217"/>
      <c r="Y79" s="1217"/>
      <c r="Z79" s="1217"/>
      <c r="AA79" s="1217"/>
      <c r="AB79" s="1217"/>
      <c r="AC79" s="1217"/>
      <c r="AD79" s="1217"/>
      <c r="AE79" s="1217"/>
      <c r="AF79" s="1217"/>
      <c r="AG79" s="1217"/>
      <c r="AH79" s="1217"/>
      <c r="AI79" s="1217"/>
      <c r="AJ79" s="1217"/>
      <c r="AK79" s="1217"/>
      <c r="AL79" s="1217"/>
      <c r="AM79" s="1217"/>
      <c r="AN79" s="1217"/>
      <c r="AO79" s="1217"/>
      <c r="AP79" s="1217"/>
      <c r="AQ79" s="1217"/>
      <c r="AR79" s="1217"/>
      <c r="AS79" s="1217"/>
      <c r="AT79" s="708"/>
      <c r="AU79" s="708"/>
      <c r="AV79" s="708"/>
      <c r="AW79" s="708"/>
      <c r="AX79" s="708"/>
      <c r="AY79" s="708"/>
      <c r="AZ79" s="708"/>
      <c r="BA79" s="208"/>
      <c r="BB79" s="208"/>
      <c r="BC79" s="208"/>
      <c r="BD79" s="208"/>
      <c r="BE79" s="208"/>
      <c r="BF79" s="208"/>
      <c r="BG79" s="1184"/>
      <c r="BH79" s="1184"/>
      <c r="BI79" s="1184"/>
      <c r="BJ79" s="1184"/>
      <c r="BK79" s="1184"/>
      <c r="BL79" s="1184"/>
      <c r="BM79" s="1184"/>
      <c r="BN79" s="1184"/>
      <c r="BO79" s="1184"/>
      <c r="BP79" s="1184"/>
      <c r="BQ79" s="1184"/>
      <c r="BR79" s="1184"/>
      <c r="BS79" s="1184"/>
      <c r="BT79" s="1184"/>
      <c r="BU79" s="1184"/>
      <c r="BV79" s="1184"/>
      <c r="BW79" s="1184"/>
      <c r="BX79" s="1184"/>
      <c r="BY79" s="1184"/>
      <c r="BZ79" s="208"/>
      <c r="CA79" s="208"/>
      <c r="CB79" s="208"/>
      <c r="CC79" s="208"/>
      <c r="CD79" s="211"/>
    </row>
    <row r="80" ht="18" customHeight="1">
      <c r="A80" s="1216"/>
      <c r="B80" s="1217"/>
      <c r="C80" t="s" s="1221">
        <v>1125</v>
      </c>
      <c r="D80" s="1217"/>
      <c r="E80" t="s" s="1247">
        <v>1124</v>
      </c>
      <c r="F80" s="1257"/>
      <c r="G80" s="1258">
        <f>D80*F80</f>
        <v>0</v>
      </c>
      <c r="H80" s="1259"/>
      <c r="I80" s="1259"/>
      <c r="J80" s="1217"/>
      <c r="K80" s="1217"/>
      <c r="L80" s="1220"/>
      <c r="M80" s="1216"/>
      <c r="N80" s="1217"/>
      <c r="O80" s="1217"/>
      <c r="P80" s="1217"/>
      <c r="Q80" s="1217"/>
      <c r="R80" s="1217"/>
      <c r="S80" s="1217"/>
      <c r="T80" s="1217"/>
      <c r="U80" s="1217"/>
      <c r="V80" s="1217"/>
      <c r="W80" s="1217"/>
      <c r="X80" s="1217"/>
      <c r="Y80" s="1217"/>
      <c r="Z80" s="1217"/>
      <c r="AA80" s="1217"/>
      <c r="AB80" s="1217"/>
      <c r="AC80" s="1217"/>
      <c r="AD80" s="1217"/>
      <c r="AE80" s="1217"/>
      <c r="AF80" s="1217"/>
      <c r="AG80" s="1217"/>
      <c r="AH80" s="1217"/>
      <c r="AI80" s="1217"/>
      <c r="AJ80" s="1217"/>
      <c r="AK80" s="1217"/>
      <c r="AL80" s="1217"/>
      <c r="AM80" s="1217"/>
      <c r="AN80" s="1217"/>
      <c r="AO80" s="1217"/>
      <c r="AP80" s="1217"/>
      <c r="AQ80" s="1217"/>
      <c r="AR80" s="1217"/>
      <c r="AS80" s="1217"/>
      <c r="AT80" s="708"/>
      <c r="AU80" s="708"/>
      <c r="AV80" s="708"/>
      <c r="AW80" s="708"/>
      <c r="AX80" s="708"/>
      <c r="AY80" s="708"/>
      <c r="AZ80" s="708"/>
      <c r="BA80" s="208"/>
      <c r="BB80" s="208"/>
      <c r="BC80" s="208"/>
      <c r="BD80" s="208"/>
      <c r="BE80" s="208"/>
      <c r="BF80" s="208"/>
      <c r="BG80" s="1184"/>
      <c r="BH80" s="1184"/>
      <c r="BI80" s="1184"/>
      <c r="BJ80" s="1184"/>
      <c r="BK80" s="1184"/>
      <c r="BL80" s="1184"/>
      <c r="BM80" s="1184"/>
      <c r="BN80" s="1184"/>
      <c r="BO80" s="1184"/>
      <c r="BP80" s="1184"/>
      <c r="BQ80" s="1184"/>
      <c r="BR80" s="1184"/>
      <c r="BS80" s="1184"/>
      <c r="BT80" s="1184"/>
      <c r="BU80" s="1184"/>
      <c r="BV80" s="1184"/>
      <c r="BW80" s="1184"/>
      <c r="BX80" s="1184"/>
      <c r="BY80" s="1184"/>
      <c r="BZ80" s="208"/>
      <c r="CA80" s="208"/>
      <c r="CB80" s="208"/>
      <c r="CC80" s="208"/>
      <c r="CD80" s="211"/>
    </row>
    <row r="81" ht="18" customHeight="1">
      <c r="A81" s="1216"/>
      <c r="B81" s="1217"/>
      <c r="C81" t="s" s="1221">
        <v>1123</v>
      </c>
      <c r="D81" s="1217"/>
      <c r="E81" t="s" s="1247">
        <v>1124</v>
      </c>
      <c r="F81" s="1257"/>
      <c r="G81" s="1258">
        <f>D81*F81</f>
        <v>0</v>
      </c>
      <c r="H81" s="1259"/>
      <c r="I81" s="1259"/>
      <c r="J81" s="1217"/>
      <c r="K81" s="1217"/>
      <c r="L81" s="1220"/>
      <c r="M81" s="1216"/>
      <c r="N81" s="1217"/>
      <c r="O81" s="1217"/>
      <c r="P81" s="1217"/>
      <c r="Q81" s="1217"/>
      <c r="R81" s="1217"/>
      <c r="S81" s="1217"/>
      <c r="T81" s="1217"/>
      <c r="U81" s="1217"/>
      <c r="V81" s="1217"/>
      <c r="W81" s="1217"/>
      <c r="X81" s="1217"/>
      <c r="Y81" s="1217"/>
      <c r="Z81" s="1217"/>
      <c r="AA81" s="1217"/>
      <c r="AB81" s="1217"/>
      <c r="AC81" s="1217"/>
      <c r="AD81" s="1217"/>
      <c r="AE81" s="1217"/>
      <c r="AF81" s="1217"/>
      <c r="AG81" s="1217"/>
      <c r="AH81" s="1217"/>
      <c r="AI81" s="1217"/>
      <c r="AJ81" s="1217"/>
      <c r="AK81" s="1217"/>
      <c r="AL81" s="1217"/>
      <c r="AM81" s="1217"/>
      <c r="AN81" s="1217"/>
      <c r="AO81" s="1217"/>
      <c r="AP81" s="1217"/>
      <c r="AQ81" s="1217"/>
      <c r="AR81" s="1217"/>
      <c r="AS81" s="1217"/>
      <c r="AT81" s="708"/>
      <c r="AU81" s="708"/>
      <c r="AV81" s="708"/>
      <c r="AW81" s="708"/>
      <c r="AX81" s="708"/>
      <c r="AY81" s="708"/>
      <c r="AZ81" s="708"/>
      <c r="BA81" s="208"/>
      <c r="BB81" s="208"/>
      <c r="BC81" s="208"/>
      <c r="BD81" s="208"/>
      <c r="BE81" s="208"/>
      <c r="BF81" s="208"/>
      <c r="BG81" s="1184"/>
      <c r="BH81" s="1184"/>
      <c r="BI81" s="1184"/>
      <c r="BJ81" s="1184"/>
      <c r="BK81" s="1184"/>
      <c r="BL81" s="1184"/>
      <c r="BM81" s="1184"/>
      <c r="BN81" s="1184"/>
      <c r="BO81" s="1184"/>
      <c r="BP81" s="1184"/>
      <c r="BQ81" s="1184"/>
      <c r="BR81" s="1184"/>
      <c r="BS81" s="1184"/>
      <c r="BT81" s="1184"/>
      <c r="BU81" s="1184"/>
      <c r="BV81" s="1184"/>
      <c r="BW81" s="1184"/>
      <c r="BX81" s="1184"/>
      <c r="BY81" s="1184"/>
      <c r="BZ81" s="208"/>
      <c r="CA81" s="208"/>
      <c r="CB81" s="208"/>
      <c r="CC81" s="208"/>
      <c r="CD81" s="211"/>
    </row>
    <row r="82" ht="18" customHeight="1">
      <c r="A82" s="1216"/>
      <c r="B82" s="1217"/>
      <c r="C82" t="s" s="1221">
        <v>1126</v>
      </c>
      <c r="D82" s="1217"/>
      <c r="E82" t="s" s="1247">
        <v>1124</v>
      </c>
      <c r="F82" s="1257"/>
      <c r="G82" s="1258">
        <f>D82*F82</f>
        <v>0</v>
      </c>
      <c r="H82" s="1260"/>
      <c r="I82" s="1260"/>
      <c r="J82" s="1217"/>
      <c r="K82" s="1217"/>
      <c r="L82" s="1220"/>
      <c r="M82" s="1216"/>
      <c r="N82" s="1217"/>
      <c r="O82" s="1217"/>
      <c r="P82" s="1217"/>
      <c r="Q82" s="1217"/>
      <c r="R82" s="1217"/>
      <c r="S82" s="1217"/>
      <c r="T82" s="1217"/>
      <c r="U82" s="1217"/>
      <c r="V82" s="1217"/>
      <c r="W82" s="1217"/>
      <c r="X82" s="1217"/>
      <c r="Y82" s="1217"/>
      <c r="Z82" s="1217"/>
      <c r="AA82" s="1217"/>
      <c r="AB82" s="1217"/>
      <c r="AC82" s="1217"/>
      <c r="AD82" s="1217"/>
      <c r="AE82" s="1217"/>
      <c r="AF82" s="1217"/>
      <c r="AG82" s="1217"/>
      <c r="AH82" s="1217"/>
      <c r="AI82" s="1217"/>
      <c r="AJ82" s="1217"/>
      <c r="AK82" s="1217"/>
      <c r="AL82" s="1217"/>
      <c r="AM82" s="1217"/>
      <c r="AN82" s="1217"/>
      <c r="AO82" s="1217"/>
      <c r="AP82" s="1217"/>
      <c r="AQ82" s="1217"/>
      <c r="AR82" s="1217"/>
      <c r="AS82" s="1217"/>
      <c r="AT82" s="708"/>
      <c r="AU82" s="708"/>
      <c r="AV82" s="708"/>
      <c r="AW82" s="708"/>
      <c r="AX82" s="708"/>
      <c r="AY82" s="708"/>
      <c r="AZ82" s="708"/>
      <c r="BA82" s="208"/>
      <c r="BB82" s="208"/>
      <c r="BC82" s="208"/>
      <c r="BD82" s="208"/>
      <c r="BE82" s="208"/>
      <c r="BF82" s="208"/>
      <c r="BG82" s="1184"/>
      <c r="BH82" s="1184"/>
      <c r="BI82" s="1184"/>
      <c r="BJ82" s="1184"/>
      <c r="BK82" s="1184"/>
      <c r="BL82" s="1184"/>
      <c r="BM82" s="1184"/>
      <c r="BN82" s="1184"/>
      <c r="BO82" s="1184"/>
      <c r="BP82" s="1184"/>
      <c r="BQ82" s="1184"/>
      <c r="BR82" s="1184"/>
      <c r="BS82" s="1184"/>
      <c r="BT82" s="1184"/>
      <c r="BU82" s="1184"/>
      <c r="BV82" s="1184"/>
      <c r="BW82" s="1184"/>
      <c r="BX82" s="1184"/>
      <c r="BY82" s="1184"/>
      <c r="BZ82" s="208"/>
      <c r="CA82" s="208"/>
      <c r="CB82" s="208"/>
      <c r="CC82" s="208"/>
      <c r="CD82" s="211"/>
    </row>
    <row r="83" ht="18" customHeight="1">
      <c r="A83" s="1216"/>
      <c r="B83" s="1217"/>
      <c r="C83" t="s" s="1221">
        <v>1123</v>
      </c>
      <c r="D83" s="1217"/>
      <c r="E83" t="s" s="1247">
        <v>1124</v>
      </c>
      <c r="F83" s="1257"/>
      <c r="G83" s="1258">
        <f>D83*F83</f>
        <v>0</v>
      </c>
      <c r="H83" s="708"/>
      <c r="I83" s="708"/>
      <c r="J83" s="708"/>
      <c r="K83" s="708"/>
      <c r="L83" s="1261"/>
      <c r="M83" s="1216"/>
      <c r="N83" s="1217"/>
      <c r="O83" s="1217"/>
      <c r="P83" s="1217"/>
      <c r="Q83" s="1217"/>
      <c r="R83" s="1217"/>
      <c r="S83" s="1217"/>
      <c r="T83" s="1217"/>
      <c r="U83" s="1217"/>
      <c r="V83" s="1217"/>
      <c r="W83" s="1217"/>
      <c r="X83" s="1217"/>
      <c r="Y83" s="1217"/>
      <c r="Z83" s="1217"/>
      <c r="AA83" s="1217"/>
      <c r="AB83" s="1217"/>
      <c r="AC83" s="1217"/>
      <c r="AD83" s="1217"/>
      <c r="AE83" s="1217"/>
      <c r="AF83" s="1217"/>
      <c r="AG83" s="1217"/>
      <c r="AH83" s="1217"/>
      <c r="AI83" s="1217"/>
      <c r="AJ83" s="1217"/>
      <c r="AK83" s="1217"/>
      <c r="AL83" s="1217"/>
      <c r="AM83" s="1217"/>
      <c r="AN83" s="1217"/>
      <c r="AO83" s="1217"/>
      <c r="AP83" s="1217"/>
      <c r="AQ83" s="1217"/>
      <c r="AR83" s="1217"/>
      <c r="AS83" s="1217"/>
      <c r="AT83" s="708"/>
      <c r="AU83" s="708"/>
      <c r="AV83" s="708"/>
      <c r="AW83" s="708"/>
      <c r="AX83" s="708"/>
      <c r="AY83" s="708"/>
      <c r="AZ83" s="708"/>
      <c r="BA83" s="208"/>
      <c r="BB83" s="208"/>
      <c r="BC83" s="208"/>
      <c r="BD83" s="208"/>
      <c r="BE83" s="208"/>
      <c r="BF83" s="208"/>
      <c r="BG83" s="1184"/>
      <c r="BH83" s="1184"/>
      <c r="BI83" s="1184"/>
      <c r="BJ83" s="1184"/>
      <c r="BK83" s="1184"/>
      <c r="BL83" s="1184"/>
      <c r="BM83" s="1184"/>
      <c r="BN83" s="1184"/>
      <c r="BO83" s="1184"/>
      <c r="BP83" s="1184"/>
      <c r="BQ83" s="1184"/>
      <c r="BR83" s="1184"/>
      <c r="BS83" s="1184"/>
      <c r="BT83" s="1184"/>
      <c r="BU83" s="1184"/>
      <c r="BV83" s="1184"/>
      <c r="BW83" s="1184"/>
      <c r="BX83" s="1184"/>
      <c r="BY83" s="1184"/>
      <c r="BZ83" s="208"/>
      <c r="CA83" s="208"/>
      <c r="CB83" s="208"/>
      <c r="CC83" s="208"/>
      <c r="CD83" s="211"/>
    </row>
    <row r="84" ht="18" customHeight="1">
      <c r="A84" s="1216"/>
      <c r="B84" s="1217"/>
      <c r="C84" t="s" s="1221">
        <v>1127</v>
      </c>
      <c r="D84" s="1217"/>
      <c r="E84" t="s" s="1247">
        <v>1124</v>
      </c>
      <c r="F84" s="1257"/>
      <c r="G84" s="1258">
        <f>D84*F84</f>
        <v>0</v>
      </c>
      <c r="H84" s="1217"/>
      <c r="I84" s="1217"/>
      <c r="J84" s="1217"/>
      <c r="K84" s="1217"/>
      <c r="L84" s="1220"/>
      <c r="M84" s="1216"/>
      <c r="N84" s="1217"/>
      <c r="O84" s="1217"/>
      <c r="P84" s="1217"/>
      <c r="Q84" s="1217"/>
      <c r="R84" s="1217"/>
      <c r="S84" s="1217"/>
      <c r="T84" s="1217"/>
      <c r="U84" s="1217"/>
      <c r="V84" s="1217"/>
      <c r="W84" s="1217"/>
      <c r="X84" s="1217"/>
      <c r="Y84" s="1217"/>
      <c r="Z84" s="1217"/>
      <c r="AA84" s="1217"/>
      <c r="AB84" s="1217"/>
      <c r="AC84" s="1217"/>
      <c r="AD84" s="1217"/>
      <c r="AE84" s="1217"/>
      <c r="AF84" s="1217"/>
      <c r="AG84" s="1217"/>
      <c r="AH84" s="1217"/>
      <c r="AI84" s="1217"/>
      <c r="AJ84" s="1217"/>
      <c r="AK84" s="1217"/>
      <c r="AL84" s="1217"/>
      <c r="AM84" s="1217"/>
      <c r="AN84" s="1217"/>
      <c r="AO84" s="1217"/>
      <c r="AP84" s="1217"/>
      <c r="AQ84" s="1217"/>
      <c r="AR84" s="1217"/>
      <c r="AS84" s="1217"/>
      <c r="AT84" s="708"/>
      <c r="AU84" s="708"/>
      <c r="AV84" s="708"/>
      <c r="AW84" s="708"/>
      <c r="AX84" s="708"/>
      <c r="AY84" s="708"/>
      <c r="AZ84" s="708"/>
      <c r="BA84" s="208"/>
      <c r="BB84" s="208"/>
      <c r="BC84" s="208"/>
      <c r="BD84" s="208"/>
      <c r="BE84" s="208"/>
      <c r="BF84" s="208"/>
      <c r="BG84" s="1184"/>
      <c r="BH84" s="1184"/>
      <c r="BI84" s="1184"/>
      <c r="BJ84" s="1184"/>
      <c r="BK84" s="1184"/>
      <c r="BL84" s="1184"/>
      <c r="BM84" s="1184"/>
      <c r="BN84" s="1184"/>
      <c r="BO84" s="1184"/>
      <c r="BP84" s="1184"/>
      <c r="BQ84" s="1184"/>
      <c r="BR84" s="1184"/>
      <c r="BS84" s="1184"/>
      <c r="BT84" s="1184"/>
      <c r="BU84" s="1184"/>
      <c r="BV84" s="1184"/>
      <c r="BW84" s="1184"/>
      <c r="BX84" s="1184"/>
      <c r="BY84" s="1184"/>
      <c r="BZ84" s="208"/>
      <c r="CA84" s="208"/>
      <c r="CB84" s="208"/>
      <c r="CC84" s="208"/>
      <c r="CD84" s="211"/>
    </row>
    <row r="85" ht="18" customHeight="1">
      <c r="A85" s="1216"/>
      <c r="B85" s="1217"/>
      <c r="C85" t="s" s="1221">
        <v>1123</v>
      </c>
      <c r="D85" s="1242"/>
      <c r="E85" t="s" s="1247">
        <v>1124</v>
      </c>
      <c r="F85" s="1257"/>
      <c r="G85" s="1262">
        <f>D85*F85</f>
        <v>0</v>
      </c>
      <c r="H85" s="1263"/>
      <c r="I85" s="1223"/>
      <c r="J85" s="1251"/>
      <c r="K85" s="1264"/>
      <c r="L85" s="1220"/>
      <c r="M85" s="1216"/>
      <c r="N85" s="1217"/>
      <c r="O85" s="1217"/>
      <c r="P85" s="1217"/>
      <c r="Q85" s="1217"/>
      <c r="R85" s="1217"/>
      <c r="S85" s="1217"/>
      <c r="T85" s="1217"/>
      <c r="U85" s="1217"/>
      <c r="V85" s="1217"/>
      <c r="W85" s="1217"/>
      <c r="X85" s="1217"/>
      <c r="Y85" s="1217"/>
      <c r="Z85" s="1217"/>
      <c r="AA85" s="1217"/>
      <c r="AB85" s="1217"/>
      <c r="AC85" s="1217"/>
      <c r="AD85" s="1217"/>
      <c r="AE85" s="1217"/>
      <c r="AF85" s="1217"/>
      <c r="AG85" s="1217"/>
      <c r="AH85" s="1217"/>
      <c r="AI85" s="1217"/>
      <c r="AJ85" s="1217"/>
      <c r="AK85" s="1217"/>
      <c r="AL85" s="1217"/>
      <c r="AM85" s="1217"/>
      <c r="AN85" s="1217"/>
      <c r="AO85" s="1217"/>
      <c r="AP85" s="1217"/>
      <c r="AQ85" s="1217"/>
      <c r="AR85" s="1217"/>
      <c r="AS85" s="1217"/>
      <c r="AT85" s="708"/>
      <c r="AU85" s="708"/>
      <c r="AV85" s="708"/>
      <c r="AW85" s="708"/>
      <c r="AX85" s="708"/>
      <c r="AY85" s="708"/>
      <c r="AZ85" s="708"/>
      <c r="BA85" s="208"/>
      <c r="BB85" s="208"/>
      <c r="BC85" s="208"/>
      <c r="BD85" s="208"/>
      <c r="BE85" s="208"/>
      <c r="BF85" s="208"/>
      <c r="BG85" s="1184"/>
      <c r="BH85" s="1184"/>
      <c r="BI85" s="1184"/>
      <c r="BJ85" s="1184"/>
      <c r="BK85" s="1184"/>
      <c r="BL85" s="1184"/>
      <c r="BM85" s="1184"/>
      <c r="BN85" s="1184"/>
      <c r="BO85" s="1184"/>
      <c r="BP85" s="1184"/>
      <c r="BQ85" s="1184"/>
      <c r="BR85" s="1184"/>
      <c r="BS85" s="1184"/>
      <c r="BT85" s="1184"/>
      <c r="BU85" s="1184"/>
      <c r="BV85" s="1184"/>
      <c r="BW85" s="1184"/>
      <c r="BX85" s="1184"/>
      <c r="BY85" s="1184"/>
      <c r="BZ85" s="208"/>
      <c r="CA85" s="208"/>
      <c r="CB85" s="208"/>
      <c r="CC85" s="208"/>
      <c r="CD85" s="211"/>
    </row>
    <row r="86" ht="18" customHeight="1">
      <c r="A86" s="1216"/>
      <c r="B86" s="1217"/>
      <c r="C86" s="1217"/>
      <c r="D86" s="1265">
        <f>SUM(D79:D85)</f>
        <v>0</v>
      </c>
      <c r="E86" s="1217"/>
      <c r="F86" s="1214"/>
      <c r="G86" s="1266">
        <f>SUM(G79:G85)</f>
        <v>0</v>
      </c>
      <c r="H86" t="s" s="1230">
        <v>1128</v>
      </c>
      <c r="I86" s="1223">
        <f>D86</f>
        <v>0</v>
      </c>
      <c r="J86" t="s" s="1267">
        <v>1129</v>
      </c>
      <c r="K86" s="1268">
        <f>G86/I86</f>
      </c>
      <c r="L86" t="s" s="1247">
        <v>1121</v>
      </c>
      <c r="M86" s="1216"/>
      <c r="N86" s="1217"/>
      <c r="O86" s="1217"/>
      <c r="P86" s="1217"/>
      <c r="Q86" s="1217"/>
      <c r="R86" s="1217"/>
      <c r="S86" s="1217"/>
      <c r="T86" s="1217"/>
      <c r="U86" s="1217"/>
      <c r="V86" s="1217"/>
      <c r="W86" s="1217"/>
      <c r="X86" s="1217"/>
      <c r="Y86" s="1217"/>
      <c r="Z86" s="1217"/>
      <c r="AA86" s="1217"/>
      <c r="AB86" s="1217"/>
      <c r="AC86" s="1217"/>
      <c r="AD86" s="1217"/>
      <c r="AE86" s="1217"/>
      <c r="AF86" s="1217"/>
      <c r="AG86" s="1217"/>
      <c r="AH86" s="1217"/>
      <c r="AI86" s="1217"/>
      <c r="AJ86" s="1217"/>
      <c r="AK86" s="1217"/>
      <c r="AL86" s="1217"/>
      <c r="AM86" s="1217"/>
      <c r="AN86" s="1217"/>
      <c r="AO86" s="1217"/>
      <c r="AP86" s="1217"/>
      <c r="AQ86" s="1217"/>
      <c r="AR86" s="1217"/>
      <c r="AS86" s="1217"/>
      <c r="AT86" s="708"/>
      <c r="AU86" s="708"/>
      <c r="AV86" s="708"/>
      <c r="AW86" s="708"/>
      <c r="AX86" s="708"/>
      <c r="AY86" s="708"/>
      <c r="AZ86" s="708"/>
      <c r="BA86" s="208"/>
      <c r="BB86" s="208"/>
      <c r="BC86" s="208"/>
      <c r="BD86" s="208"/>
      <c r="BE86" s="208"/>
      <c r="BF86" s="208"/>
      <c r="BG86" s="1184"/>
      <c r="BH86" s="1184"/>
      <c r="BI86" s="1184"/>
      <c r="BJ86" s="1184"/>
      <c r="BK86" s="1184"/>
      <c r="BL86" s="1184"/>
      <c r="BM86" s="1184"/>
      <c r="BN86" s="1184"/>
      <c r="BO86" s="1184"/>
      <c r="BP86" s="1184"/>
      <c r="BQ86" s="1184"/>
      <c r="BR86" s="1184"/>
      <c r="BS86" s="1184"/>
      <c r="BT86" s="1184"/>
      <c r="BU86" s="1184"/>
      <c r="BV86" s="1184"/>
      <c r="BW86" s="1184"/>
      <c r="BX86" s="1184"/>
      <c r="BY86" s="1184"/>
      <c r="BZ86" s="208"/>
      <c r="CA86" s="208"/>
      <c r="CB86" s="208"/>
      <c r="CC86" s="208"/>
      <c r="CD86" s="211"/>
    </row>
    <row r="87" ht="18" customHeight="1">
      <c r="A87" s="1269"/>
      <c r="B87" s="1242"/>
      <c r="C87" s="1242"/>
      <c r="D87" s="1255"/>
      <c r="E87" s="1242"/>
      <c r="F87" s="1242"/>
      <c r="G87" s="1255"/>
      <c r="H87" s="1242"/>
      <c r="I87" s="1242"/>
      <c r="J87" s="1242"/>
      <c r="K87" s="1242"/>
      <c r="L87" s="1270"/>
      <c r="M87" s="1216"/>
      <c r="N87" s="1217"/>
      <c r="O87" s="1238"/>
      <c r="P87" t="s" s="1221">
        <v>1130</v>
      </c>
      <c r="Q87" s="1238"/>
      <c r="R87" s="1238"/>
      <c r="S87" s="1238"/>
      <c r="T87" s="1238"/>
      <c r="U87" s="1238"/>
      <c r="V87" s="1238"/>
      <c r="W87" s="1238"/>
      <c r="X87" s="1238"/>
      <c r="Y87" s="1238"/>
      <c r="Z87" s="1238"/>
      <c r="AA87" s="1238"/>
      <c r="AB87" s="1238"/>
      <c r="AC87" s="1238"/>
      <c r="AD87" s="1217"/>
      <c r="AE87" s="1217"/>
      <c r="AF87" s="1217"/>
      <c r="AG87" s="1217"/>
      <c r="AH87" s="1217"/>
      <c r="AI87" s="1217"/>
      <c r="AJ87" s="1217"/>
      <c r="AK87" s="1217"/>
      <c r="AL87" s="1217"/>
      <c r="AM87" s="1217"/>
      <c r="AN87" s="1217"/>
      <c r="AO87" s="1217"/>
      <c r="AP87" s="1217"/>
      <c r="AQ87" s="1217"/>
      <c r="AR87" s="1217"/>
      <c r="AS87" s="1217"/>
      <c r="AT87" s="708"/>
      <c r="AU87" s="708"/>
      <c r="AV87" s="708"/>
      <c r="AW87" s="708"/>
      <c r="AX87" s="708"/>
      <c r="AY87" s="708"/>
      <c r="AZ87" s="708"/>
      <c r="BA87" s="208"/>
      <c r="BB87" s="208"/>
      <c r="BC87" s="208"/>
      <c r="BD87" s="208"/>
      <c r="BE87" s="208"/>
      <c r="BF87" s="208"/>
      <c r="BG87" s="1184"/>
      <c r="BH87" s="1184"/>
      <c r="BI87" s="1184"/>
      <c r="BJ87" s="1184"/>
      <c r="BK87" s="1184"/>
      <c r="BL87" s="1184"/>
      <c r="BM87" s="1184"/>
      <c r="BN87" s="1184"/>
      <c r="BO87" s="1184"/>
      <c r="BP87" s="1184"/>
      <c r="BQ87" s="1184"/>
      <c r="BR87" s="1184"/>
      <c r="BS87" s="1184"/>
      <c r="BT87" s="1184"/>
      <c r="BU87" s="1184"/>
      <c r="BV87" s="1184"/>
      <c r="BW87" s="1184"/>
      <c r="BX87" s="1184"/>
      <c r="BY87" s="1184"/>
      <c r="BZ87" s="208"/>
      <c r="CA87" s="208"/>
      <c r="CB87" s="208"/>
      <c r="CC87" s="208"/>
      <c r="CD87" s="211"/>
    </row>
    <row r="88" ht="18" customHeight="1">
      <c r="A88" s="1271"/>
      <c r="B88" s="1214"/>
      <c r="C88" s="1214"/>
      <c r="D88" s="1214"/>
      <c r="E88" s="1214"/>
      <c r="F88" s="1214"/>
      <c r="G88" s="1214"/>
      <c r="H88" s="1214"/>
      <c r="I88" s="1214"/>
      <c r="J88" s="1214"/>
      <c r="K88" s="1214"/>
      <c r="L88" s="1214"/>
      <c r="M88" s="1217"/>
      <c r="N88" s="1217"/>
      <c r="O88" s="1238"/>
      <c r="P88" s="1217"/>
      <c r="Q88" s="1238"/>
      <c r="R88" s="1238"/>
      <c r="S88" s="1238"/>
      <c r="T88" s="1238"/>
      <c r="U88" s="1238"/>
      <c r="V88" s="1238"/>
      <c r="W88" s="1238"/>
      <c r="X88" s="1238"/>
      <c r="Y88" s="1238"/>
      <c r="Z88" s="1238"/>
      <c r="AA88" s="1238"/>
      <c r="AB88" s="1238"/>
      <c r="AC88" s="1238"/>
      <c r="AD88" s="1217"/>
      <c r="AE88" s="1217"/>
      <c r="AF88" s="1217"/>
      <c r="AG88" s="1217"/>
      <c r="AH88" s="1217"/>
      <c r="AI88" s="1217"/>
      <c r="AJ88" s="1217"/>
      <c r="AK88" s="1217"/>
      <c r="AL88" s="1217"/>
      <c r="AM88" s="1217"/>
      <c r="AN88" s="1217"/>
      <c r="AO88" s="1217"/>
      <c r="AP88" s="1217"/>
      <c r="AQ88" s="1217"/>
      <c r="AR88" s="1217"/>
      <c r="AS88" s="1217"/>
      <c r="AT88" s="708"/>
      <c r="AU88" s="708"/>
      <c r="AV88" s="708"/>
      <c r="AW88" s="708"/>
      <c r="AX88" s="708"/>
      <c r="AY88" s="708"/>
      <c r="AZ88" s="708"/>
      <c r="BA88" s="208"/>
      <c r="BB88" s="208"/>
      <c r="BC88" s="208"/>
      <c r="BD88" s="208"/>
      <c r="BE88" s="208"/>
      <c r="BF88" s="208"/>
      <c r="BG88" s="1184"/>
      <c r="BH88" s="1184"/>
      <c r="BI88" s="1184"/>
      <c r="BJ88" s="1184"/>
      <c r="BK88" s="1184"/>
      <c r="BL88" s="1184"/>
      <c r="BM88" s="1184"/>
      <c r="BN88" s="1184"/>
      <c r="BO88" s="1184"/>
      <c r="BP88" s="1184"/>
      <c r="BQ88" s="1184"/>
      <c r="BR88" s="1184"/>
      <c r="BS88" s="1184"/>
      <c r="BT88" s="1184"/>
      <c r="BU88" s="1184"/>
      <c r="BV88" s="1184"/>
      <c r="BW88" s="1184"/>
      <c r="BX88" s="1184"/>
      <c r="BY88" s="1184"/>
      <c r="BZ88" s="208"/>
      <c r="CA88" s="208"/>
      <c r="CB88" s="208"/>
      <c r="CC88" s="208"/>
      <c r="CD88" s="211"/>
    </row>
    <row r="89" ht="18" customHeight="1">
      <c r="A89" s="1272"/>
      <c r="B89" s="1217"/>
      <c r="C89" s="1217"/>
      <c r="D89" s="1217"/>
      <c r="E89" s="1217"/>
      <c r="F89" s="1217"/>
      <c r="G89" s="1217"/>
      <c r="H89" s="1217"/>
      <c r="I89" s="1217"/>
      <c r="J89" s="1217"/>
      <c r="K89" s="1217"/>
      <c r="L89" s="1217"/>
      <c r="M89" s="1217"/>
      <c r="N89" s="1217"/>
      <c r="O89" t="s" s="1273">
        <v>1131</v>
      </c>
      <c r="P89" s="1221">
        <v>1</v>
      </c>
      <c r="Q89" s="1221">
        <v>2</v>
      </c>
      <c r="R89" s="1221">
        <v>3</v>
      </c>
      <c r="S89" s="1221">
        <v>4</v>
      </c>
      <c r="T89" s="1221">
        <v>5</v>
      </c>
      <c r="U89" s="1221">
        <v>6</v>
      </c>
      <c r="V89" s="1221">
        <v>7</v>
      </c>
      <c r="W89" s="1221">
        <v>8</v>
      </c>
      <c r="X89" s="1221">
        <v>9</v>
      </c>
      <c r="Y89" s="1221">
        <v>10</v>
      </c>
      <c r="Z89" s="1221">
        <v>11</v>
      </c>
      <c r="AA89" s="1221">
        <v>12</v>
      </c>
      <c r="AB89" s="1221">
        <v>13</v>
      </c>
      <c r="AC89" s="1221">
        <v>14</v>
      </c>
      <c r="AD89" s="1221">
        <v>15</v>
      </c>
      <c r="AE89" s="1274">
        <v>16</v>
      </c>
      <c r="AF89" s="1221">
        <v>17</v>
      </c>
      <c r="AG89" s="1221">
        <v>18</v>
      </c>
      <c r="AH89" s="1221">
        <v>19</v>
      </c>
      <c r="AI89" s="1221">
        <v>20</v>
      </c>
      <c r="AJ89" s="1221">
        <v>21</v>
      </c>
      <c r="AK89" s="1221">
        <v>22</v>
      </c>
      <c r="AL89" s="1221">
        <v>23</v>
      </c>
      <c r="AM89" s="1221">
        <v>24</v>
      </c>
      <c r="AN89" s="1221">
        <v>25</v>
      </c>
      <c r="AO89" s="1221">
        <v>26</v>
      </c>
      <c r="AP89" s="1221">
        <v>27</v>
      </c>
      <c r="AQ89" s="1221">
        <v>28</v>
      </c>
      <c r="AR89" s="1221">
        <v>29</v>
      </c>
      <c r="AS89" s="1221">
        <v>30</v>
      </c>
      <c r="AT89" s="1221">
        <v>31</v>
      </c>
      <c r="AU89" s="1221">
        <v>32</v>
      </c>
      <c r="AV89" s="1221">
        <v>33</v>
      </c>
      <c r="AW89" s="1221">
        <v>34</v>
      </c>
      <c r="AX89" s="1221">
        <v>35</v>
      </c>
      <c r="AY89" s="1221">
        <v>36</v>
      </c>
      <c r="AZ89" s="1221">
        <v>37</v>
      </c>
      <c r="BA89" s="1275">
        <v>38</v>
      </c>
      <c r="BB89" s="1275">
        <v>39</v>
      </c>
      <c r="BC89" s="1275">
        <v>40</v>
      </c>
      <c r="BD89" s="1275">
        <v>41</v>
      </c>
      <c r="BE89" s="1275">
        <v>42</v>
      </c>
      <c r="BF89" s="1275">
        <v>43</v>
      </c>
      <c r="BG89" s="1276">
        <v>44</v>
      </c>
      <c r="BH89" s="1276">
        <v>45</v>
      </c>
      <c r="BI89" s="1276">
        <v>46</v>
      </c>
      <c r="BJ89" s="1276">
        <v>47</v>
      </c>
      <c r="BK89" s="1276">
        <v>48</v>
      </c>
      <c r="BL89" s="1276">
        <v>49</v>
      </c>
      <c r="BM89" s="1276">
        <v>50</v>
      </c>
      <c r="BN89" s="1276">
        <v>51</v>
      </c>
      <c r="BO89" s="1276">
        <v>52</v>
      </c>
      <c r="BP89" s="1276">
        <v>53</v>
      </c>
      <c r="BQ89" s="1276">
        <v>54</v>
      </c>
      <c r="BR89" s="1276">
        <v>55</v>
      </c>
      <c r="BS89" s="1276">
        <v>56</v>
      </c>
      <c r="BT89" s="1276">
        <v>57</v>
      </c>
      <c r="BU89" s="1276">
        <v>58</v>
      </c>
      <c r="BV89" s="1276">
        <v>59</v>
      </c>
      <c r="BW89" s="1276">
        <v>60</v>
      </c>
      <c r="BX89" s="1276">
        <v>61</v>
      </c>
      <c r="BY89" s="1276">
        <v>62</v>
      </c>
      <c r="BZ89" s="1276">
        <v>63</v>
      </c>
      <c r="CA89" s="208"/>
      <c r="CB89" s="208"/>
      <c r="CC89" s="208"/>
      <c r="CD89" s="211"/>
    </row>
    <row r="90" ht="18" customHeight="1">
      <c r="A90" s="1272"/>
      <c r="B90" s="1217"/>
      <c r="C90" s="1217"/>
      <c r="D90" s="1217"/>
      <c r="E90" s="1217"/>
      <c r="F90" s="1217"/>
      <c r="G90" s="1217"/>
      <c r="H90" s="1217"/>
      <c r="I90" s="1217"/>
      <c r="J90" s="1217"/>
      <c r="K90" s="1217"/>
      <c r="L90" s="1217"/>
      <c r="M90" s="1217"/>
      <c r="N90" s="1217"/>
      <c r="O90" s="1221">
        <v>1</v>
      </c>
      <c r="P90" s="1233">
        <f t="shared" si="284" ref="P90:AE105">$F$27</f>
        <v>40511</v>
      </c>
      <c r="Q90" s="1221">
        <v>0</v>
      </c>
      <c r="R90" s="1221">
        <v>0</v>
      </c>
      <c r="S90" s="1221">
        <v>0</v>
      </c>
      <c r="T90" s="1221">
        <v>0</v>
      </c>
      <c r="U90" s="1221">
        <v>0</v>
      </c>
      <c r="V90" s="1221">
        <v>0</v>
      </c>
      <c r="W90" s="1221">
        <v>0</v>
      </c>
      <c r="X90" s="1221">
        <v>0</v>
      </c>
      <c r="Y90" s="1221">
        <v>0</v>
      </c>
      <c r="Z90" s="1221">
        <v>0</v>
      </c>
      <c r="AA90" s="1221">
        <v>0</v>
      </c>
      <c r="AB90" s="1221">
        <v>0</v>
      </c>
      <c r="AC90" s="1221">
        <v>0</v>
      </c>
      <c r="AD90" s="1221">
        <v>0</v>
      </c>
      <c r="AE90" s="1221">
        <v>0</v>
      </c>
      <c r="AF90" s="1221">
        <v>0</v>
      </c>
      <c r="AG90" s="1221">
        <v>0</v>
      </c>
      <c r="AH90" s="1221">
        <v>0</v>
      </c>
      <c r="AI90" s="1221">
        <v>0</v>
      </c>
      <c r="AJ90" s="1221">
        <v>0</v>
      </c>
      <c r="AK90" s="1221">
        <v>0</v>
      </c>
      <c r="AL90" s="1221">
        <v>0</v>
      </c>
      <c r="AM90" s="1221">
        <v>0</v>
      </c>
      <c r="AN90" s="1221">
        <v>0</v>
      </c>
      <c r="AO90" s="1221">
        <v>0</v>
      </c>
      <c r="AP90" s="1221">
        <v>0</v>
      </c>
      <c r="AQ90" s="1221">
        <v>0</v>
      </c>
      <c r="AR90" s="1221">
        <v>0</v>
      </c>
      <c r="AS90" s="1221">
        <v>0</v>
      </c>
      <c r="AT90" s="1221">
        <v>0</v>
      </c>
      <c r="AU90" s="1221">
        <v>0</v>
      </c>
      <c r="AV90" s="1221">
        <v>0</v>
      </c>
      <c r="AW90" s="1221">
        <v>0</v>
      </c>
      <c r="AX90" s="1221">
        <v>0</v>
      </c>
      <c r="AY90" s="1221">
        <v>0</v>
      </c>
      <c r="AZ90" s="1221">
        <v>0</v>
      </c>
      <c r="BA90" s="1221">
        <v>0</v>
      </c>
      <c r="BB90" s="1221">
        <v>0</v>
      </c>
      <c r="BC90" s="1221">
        <v>0</v>
      </c>
      <c r="BD90" s="1221">
        <v>0</v>
      </c>
      <c r="BE90" s="1221">
        <v>0</v>
      </c>
      <c r="BF90" s="1221">
        <v>0</v>
      </c>
      <c r="BG90" s="1221">
        <v>0</v>
      </c>
      <c r="BH90" s="1221">
        <v>0</v>
      </c>
      <c r="BI90" s="1221">
        <v>0</v>
      </c>
      <c r="BJ90" s="1221">
        <v>0</v>
      </c>
      <c r="BK90" s="1221">
        <v>0</v>
      </c>
      <c r="BL90" s="1221">
        <v>0</v>
      </c>
      <c r="BM90" s="1221">
        <v>0</v>
      </c>
      <c r="BN90" s="1221">
        <v>0</v>
      </c>
      <c r="BO90" s="1221">
        <v>0</v>
      </c>
      <c r="BP90" s="1184"/>
      <c r="BQ90" s="1184"/>
      <c r="BR90" s="1184"/>
      <c r="BS90" s="1184"/>
      <c r="BT90" s="1184"/>
      <c r="BU90" s="1184"/>
      <c r="BV90" s="1184"/>
      <c r="BW90" s="1184"/>
      <c r="BX90" s="1184"/>
      <c r="BY90" s="1184"/>
      <c r="BZ90" s="208"/>
      <c r="CA90" s="208"/>
      <c r="CB90" s="208"/>
      <c r="CC90" s="208"/>
      <c r="CD90" s="211"/>
    </row>
    <row r="91" ht="18" customHeight="1">
      <c r="A91" s="1272"/>
      <c r="B91" s="1217"/>
      <c r="C91" s="1217"/>
      <c r="D91" s="1217"/>
      <c r="E91" s="1217"/>
      <c r="F91" s="1217"/>
      <c r="G91" s="1217"/>
      <c r="H91" s="1217"/>
      <c r="I91" s="1217"/>
      <c r="J91" s="1217"/>
      <c r="K91" s="1217"/>
      <c r="L91" s="1217"/>
      <c r="M91" s="1217"/>
      <c r="N91" s="1217"/>
      <c r="O91" s="1221">
        <v>2</v>
      </c>
      <c r="P91" s="1233">
        <f t="shared" si="285" ref="P91:AE106">$F$28</f>
        <v>60766</v>
      </c>
      <c r="Q91" s="1233">
        <f t="shared" si="284"/>
        <v>40511</v>
      </c>
      <c r="R91" s="1221">
        <v>0</v>
      </c>
      <c r="S91" s="1221">
        <v>0</v>
      </c>
      <c r="T91" s="1221">
        <v>0</v>
      </c>
      <c r="U91" s="1221">
        <v>0</v>
      </c>
      <c r="V91" s="1221">
        <v>0</v>
      </c>
      <c r="W91" s="1221">
        <v>0</v>
      </c>
      <c r="X91" s="1221">
        <v>0</v>
      </c>
      <c r="Y91" s="1221">
        <v>0</v>
      </c>
      <c r="Z91" s="1221">
        <v>0</v>
      </c>
      <c r="AA91" s="1221">
        <v>0</v>
      </c>
      <c r="AB91" s="1221">
        <v>0</v>
      </c>
      <c r="AC91" s="1221">
        <v>0</v>
      </c>
      <c r="AD91" s="1221">
        <v>0</v>
      </c>
      <c r="AE91" s="1221">
        <v>0</v>
      </c>
      <c r="AF91" s="1221">
        <v>0</v>
      </c>
      <c r="AG91" s="1221">
        <v>0</v>
      </c>
      <c r="AH91" s="1221">
        <v>0</v>
      </c>
      <c r="AI91" s="1221">
        <v>0</v>
      </c>
      <c r="AJ91" s="1221">
        <v>0</v>
      </c>
      <c r="AK91" s="1221">
        <v>0</v>
      </c>
      <c r="AL91" s="1221">
        <v>0</v>
      </c>
      <c r="AM91" s="1221">
        <v>0</v>
      </c>
      <c r="AN91" s="1221">
        <v>0</v>
      </c>
      <c r="AO91" s="1221">
        <v>0</v>
      </c>
      <c r="AP91" s="1221">
        <v>0</v>
      </c>
      <c r="AQ91" s="1221">
        <v>0</v>
      </c>
      <c r="AR91" s="1221">
        <v>0</v>
      </c>
      <c r="AS91" s="1221">
        <v>0</v>
      </c>
      <c r="AT91" s="1221">
        <v>0</v>
      </c>
      <c r="AU91" s="1221">
        <v>0</v>
      </c>
      <c r="AV91" s="1221">
        <v>0</v>
      </c>
      <c r="AW91" s="1221">
        <v>0</v>
      </c>
      <c r="AX91" s="1221">
        <v>0</v>
      </c>
      <c r="AY91" s="1221">
        <v>0</v>
      </c>
      <c r="AZ91" s="1221">
        <v>0</v>
      </c>
      <c r="BA91" s="1221">
        <v>0</v>
      </c>
      <c r="BB91" s="1221">
        <v>0</v>
      </c>
      <c r="BC91" s="1221">
        <v>0</v>
      </c>
      <c r="BD91" s="1221">
        <v>0</v>
      </c>
      <c r="BE91" s="1221">
        <v>0</v>
      </c>
      <c r="BF91" s="1221">
        <v>0</v>
      </c>
      <c r="BG91" s="1221">
        <v>0</v>
      </c>
      <c r="BH91" s="1221">
        <v>0</v>
      </c>
      <c r="BI91" s="1221">
        <v>0</v>
      </c>
      <c r="BJ91" s="1221">
        <v>0</v>
      </c>
      <c r="BK91" s="1221">
        <v>0</v>
      </c>
      <c r="BL91" s="1221">
        <v>0</v>
      </c>
      <c r="BM91" s="1221">
        <v>0</v>
      </c>
      <c r="BN91" s="1221">
        <v>0</v>
      </c>
      <c r="BO91" s="1221">
        <v>0</v>
      </c>
      <c r="BP91" s="1184"/>
      <c r="BQ91" s="1184"/>
      <c r="BR91" s="1184"/>
      <c r="BS91" s="1184"/>
      <c r="BT91" s="1184"/>
      <c r="BU91" s="1184"/>
      <c r="BV91" s="1184"/>
      <c r="BW91" s="1184"/>
      <c r="BX91" s="1184"/>
      <c r="BY91" s="1184"/>
      <c r="BZ91" s="208"/>
      <c r="CA91" s="208"/>
      <c r="CB91" s="208"/>
      <c r="CC91" s="208"/>
      <c r="CD91" s="211"/>
    </row>
    <row r="92" ht="18" customHeight="1">
      <c r="A92" s="1272"/>
      <c r="B92" s="1217"/>
      <c r="C92" s="1217"/>
      <c r="D92" s="1217"/>
      <c r="E92" s="1217"/>
      <c r="F92" s="1217"/>
      <c r="G92" s="1217"/>
      <c r="H92" s="1217"/>
      <c r="I92" s="1217"/>
      <c r="J92" s="1217"/>
      <c r="K92" s="1217"/>
      <c r="L92" s="1217"/>
      <c r="M92" s="1217"/>
      <c r="N92" s="1217"/>
      <c r="O92" s="1221">
        <v>3</v>
      </c>
      <c r="P92" s="1233">
        <f t="shared" si="287" ref="P92:AE107">$F$29</f>
        <v>81022</v>
      </c>
      <c r="Q92" s="1233">
        <f t="shared" si="285"/>
        <v>60766</v>
      </c>
      <c r="R92" s="1233">
        <f t="shared" si="284"/>
        <v>40511</v>
      </c>
      <c r="S92" s="1221">
        <v>0</v>
      </c>
      <c r="T92" s="1221">
        <v>0</v>
      </c>
      <c r="U92" s="1221">
        <v>0</v>
      </c>
      <c r="V92" s="1221">
        <v>0</v>
      </c>
      <c r="W92" s="1221">
        <v>0</v>
      </c>
      <c r="X92" s="1221">
        <v>0</v>
      </c>
      <c r="Y92" s="1221">
        <v>0</v>
      </c>
      <c r="Z92" s="1221">
        <v>0</v>
      </c>
      <c r="AA92" s="1221">
        <v>0</v>
      </c>
      <c r="AB92" s="1221">
        <v>0</v>
      </c>
      <c r="AC92" s="1221">
        <v>0</v>
      </c>
      <c r="AD92" s="1221">
        <v>0</v>
      </c>
      <c r="AE92" s="1221">
        <v>0</v>
      </c>
      <c r="AF92" s="1221">
        <v>0</v>
      </c>
      <c r="AG92" s="1221">
        <v>0</v>
      </c>
      <c r="AH92" s="1221">
        <v>0</v>
      </c>
      <c r="AI92" s="1221">
        <v>0</v>
      </c>
      <c r="AJ92" s="1221">
        <v>0</v>
      </c>
      <c r="AK92" s="1221">
        <v>0</v>
      </c>
      <c r="AL92" s="1221">
        <v>0</v>
      </c>
      <c r="AM92" s="1221">
        <v>0</v>
      </c>
      <c r="AN92" s="1221">
        <v>0</v>
      </c>
      <c r="AO92" s="1221">
        <v>0</v>
      </c>
      <c r="AP92" s="1221">
        <v>0</v>
      </c>
      <c r="AQ92" s="1221">
        <v>0</v>
      </c>
      <c r="AR92" s="1221">
        <v>0</v>
      </c>
      <c r="AS92" s="1221">
        <v>0</v>
      </c>
      <c r="AT92" s="1221">
        <v>0</v>
      </c>
      <c r="AU92" s="1221">
        <v>0</v>
      </c>
      <c r="AV92" s="1221">
        <v>0</v>
      </c>
      <c r="AW92" s="1221">
        <v>0</v>
      </c>
      <c r="AX92" s="1221">
        <v>0</v>
      </c>
      <c r="AY92" s="1221">
        <v>0</v>
      </c>
      <c r="AZ92" s="1221">
        <v>0</v>
      </c>
      <c r="BA92" s="1221">
        <v>0</v>
      </c>
      <c r="BB92" s="1221">
        <v>0</v>
      </c>
      <c r="BC92" s="1221">
        <v>0</v>
      </c>
      <c r="BD92" s="1221">
        <v>0</v>
      </c>
      <c r="BE92" s="1221">
        <v>0</v>
      </c>
      <c r="BF92" s="1221">
        <v>0</v>
      </c>
      <c r="BG92" s="1221">
        <v>0</v>
      </c>
      <c r="BH92" s="1221">
        <v>0</v>
      </c>
      <c r="BI92" s="1221">
        <v>0</v>
      </c>
      <c r="BJ92" s="1221">
        <v>0</v>
      </c>
      <c r="BK92" s="1221">
        <v>0</v>
      </c>
      <c r="BL92" s="1221">
        <v>0</v>
      </c>
      <c r="BM92" s="1221">
        <v>0</v>
      </c>
      <c r="BN92" s="1221">
        <v>0</v>
      </c>
      <c r="BO92" s="1221">
        <v>0</v>
      </c>
      <c r="BP92" s="1184"/>
      <c r="BQ92" s="1184"/>
      <c r="BR92" s="1184"/>
      <c r="BS92" s="1184"/>
      <c r="BT92" s="1184"/>
      <c r="BU92" s="1184"/>
      <c r="BV92" s="1184"/>
      <c r="BW92" s="1184"/>
      <c r="BX92" s="1184"/>
      <c r="BY92" s="1184"/>
      <c r="BZ92" s="208"/>
      <c r="CA92" s="208"/>
      <c r="CB92" s="208"/>
      <c r="CC92" s="208"/>
      <c r="CD92" s="211"/>
    </row>
    <row r="93" ht="18" customHeight="1">
      <c r="A93" s="1272"/>
      <c r="B93" s="1217"/>
      <c r="C93" s="1217"/>
      <c r="D93" s="1217"/>
      <c r="E93" s="1217"/>
      <c r="F93" s="1217"/>
      <c r="G93" s="1217"/>
      <c r="H93" s="1217"/>
      <c r="I93" s="1217"/>
      <c r="J93" s="1217"/>
      <c r="K93" s="1217"/>
      <c r="L93" s="1217"/>
      <c r="M93" s="1217"/>
      <c r="N93" s="1217"/>
      <c r="O93" s="1221">
        <v>4</v>
      </c>
      <c r="P93" s="1233">
        <f t="shared" si="290" ref="P93:AE108">$F$30</f>
        <v>91149</v>
      </c>
      <c r="Q93" s="1233">
        <f t="shared" si="287"/>
        <v>81022</v>
      </c>
      <c r="R93" s="1233">
        <f t="shared" si="285"/>
        <v>60766</v>
      </c>
      <c r="S93" s="1233">
        <f t="shared" si="284"/>
        <v>40511</v>
      </c>
      <c r="T93" s="1221">
        <v>0</v>
      </c>
      <c r="U93" s="1221">
        <v>0</v>
      </c>
      <c r="V93" s="1221">
        <v>0</v>
      </c>
      <c r="W93" s="1221">
        <v>0</v>
      </c>
      <c r="X93" s="1221">
        <v>0</v>
      </c>
      <c r="Y93" s="1221">
        <v>0</v>
      </c>
      <c r="Z93" s="1221">
        <v>0</v>
      </c>
      <c r="AA93" s="1221">
        <v>0</v>
      </c>
      <c r="AB93" s="1221">
        <v>0</v>
      </c>
      <c r="AC93" s="1221">
        <v>0</v>
      </c>
      <c r="AD93" s="1221">
        <v>0</v>
      </c>
      <c r="AE93" s="1221">
        <v>0</v>
      </c>
      <c r="AF93" s="1221">
        <v>0</v>
      </c>
      <c r="AG93" s="1221">
        <v>0</v>
      </c>
      <c r="AH93" s="1221">
        <v>0</v>
      </c>
      <c r="AI93" s="1221">
        <v>0</v>
      </c>
      <c r="AJ93" s="1221">
        <v>0</v>
      </c>
      <c r="AK93" s="1221">
        <v>0</v>
      </c>
      <c r="AL93" s="1221">
        <v>0</v>
      </c>
      <c r="AM93" s="1221">
        <v>0</v>
      </c>
      <c r="AN93" s="1221">
        <v>0</v>
      </c>
      <c r="AO93" s="1221">
        <v>0</v>
      </c>
      <c r="AP93" s="1221">
        <v>0</v>
      </c>
      <c r="AQ93" s="1221">
        <v>0</v>
      </c>
      <c r="AR93" s="1221">
        <v>0</v>
      </c>
      <c r="AS93" s="1221">
        <v>0</v>
      </c>
      <c r="AT93" s="1221">
        <v>0</v>
      </c>
      <c r="AU93" s="1221">
        <v>0</v>
      </c>
      <c r="AV93" s="1221">
        <v>0</v>
      </c>
      <c r="AW93" s="1221">
        <v>0</v>
      </c>
      <c r="AX93" s="1221">
        <v>0</v>
      </c>
      <c r="AY93" s="1221">
        <v>0</v>
      </c>
      <c r="AZ93" s="1221">
        <v>0</v>
      </c>
      <c r="BA93" s="1221">
        <v>0</v>
      </c>
      <c r="BB93" s="1221">
        <v>0</v>
      </c>
      <c r="BC93" s="1221">
        <v>0</v>
      </c>
      <c r="BD93" s="1221">
        <v>0</v>
      </c>
      <c r="BE93" s="1221">
        <v>0</v>
      </c>
      <c r="BF93" s="1221">
        <v>0</v>
      </c>
      <c r="BG93" s="1221">
        <v>0</v>
      </c>
      <c r="BH93" s="1221">
        <v>0</v>
      </c>
      <c r="BI93" s="1221">
        <v>0</v>
      </c>
      <c r="BJ93" s="1221">
        <v>0</v>
      </c>
      <c r="BK93" s="1221">
        <v>0</v>
      </c>
      <c r="BL93" s="1221">
        <v>0</v>
      </c>
      <c r="BM93" s="1221">
        <v>0</v>
      </c>
      <c r="BN93" s="1221">
        <v>0</v>
      </c>
      <c r="BO93" s="1221">
        <v>0</v>
      </c>
      <c r="BP93" s="1184"/>
      <c r="BQ93" s="1184"/>
      <c r="BR93" s="1184"/>
      <c r="BS93" s="1184"/>
      <c r="BT93" s="1184"/>
      <c r="BU93" s="1184"/>
      <c r="BV93" s="1184"/>
      <c r="BW93" s="1184"/>
      <c r="BX93" s="1184"/>
      <c r="BY93" s="1184"/>
      <c r="BZ93" s="208"/>
      <c r="CA93" s="208"/>
      <c r="CB93" s="208"/>
      <c r="CC93" s="208"/>
      <c r="CD93" s="211"/>
    </row>
    <row r="94" ht="18" customHeight="1">
      <c r="A94" s="1272"/>
      <c r="B94" s="1217"/>
      <c r="C94" s="1217"/>
      <c r="D94" s="1217"/>
      <c r="E94" s="1217"/>
      <c r="F94" s="1217"/>
      <c r="G94" s="1217"/>
      <c r="H94" s="1217"/>
      <c r="I94" s="1217"/>
      <c r="J94" s="1217"/>
      <c r="K94" s="1217"/>
      <c r="L94" s="1217"/>
      <c r="M94" s="1217"/>
      <c r="N94" s="1217"/>
      <c r="O94" s="1221">
        <v>5</v>
      </c>
      <c r="P94" s="1233">
        <f t="shared" si="294" ref="P94:AE109">$F$31</f>
        <v>101277</v>
      </c>
      <c r="Q94" s="1233">
        <f t="shared" si="290"/>
        <v>91149</v>
      </c>
      <c r="R94" s="1233">
        <f t="shared" si="287"/>
        <v>81022</v>
      </c>
      <c r="S94" s="1233">
        <f t="shared" si="285"/>
        <v>60766</v>
      </c>
      <c r="T94" s="1233">
        <f t="shared" si="284"/>
        <v>40511</v>
      </c>
      <c r="U94" s="1221">
        <v>0</v>
      </c>
      <c r="V94" s="1221">
        <v>0</v>
      </c>
      <c r="W94" s="1221">
        <v>0</v>
      </c>
      <c r="X94" s="1221">
        <v>0</v>
      </c>
      <c r="Y94" s="1221">
        <v>0</v>
      </c>
      <c r="Z94" s="1221">
        <v>0</v>
      </c>
      <c r="AA94" s="1221">
        <v>0</v>
      </c>
      <c r="AB94" s="1221">
        <v>0</v>
      </c>
      <c r="AC94" s="1221">
        <v>0</v>
      </c>
      <c r="AD94" s="1221">
        <v>0</v>
      </c>
      <c r="AE94" s="1221">
        <v>0</v>
      </c>
      <c r="AF94" s="1221">
        <v>0</v>
      </c>
      <c r="AG94" s="1221">
        <v>0</v>
      </c>
      <c r="AH94" s="1221">
        <v>0</v>
      </c>
      <c r="AI94" s="1221">
        <v>0</v>
      </c>
      <c r="AJ94" s="1221">
        <v>0</v>
      </c>
      <c r="AK94" s="1221">
        <v>0</v>
      </c>
      <c r="AL94" s="1221">
        <v>0</v>
      </c>
      <c r="AM94" s="1221">
        <v>0</v>
      </c>
      <c r="AN94" s="1221">
        <v>0</v>
      </c>
      <c r="AO94" s="1221">
        <v>0</v>
      </c>
      <c r="AP94" s="1221">
        <v>0</v>
      </c>
      <c r="AQ94" s="1221">
        <v>0</v>
      </c>
      <c r="AR94" s="1221">
        <v>0</v>
      </c>
      <c r="AS94" s="1221">
        <v>0</v>
      </c>
      <c r="AT94" s="1221">
        <v>0</v>
      </c>
      <c r="AU94" s="1221">
        <v>0</v>
      </c>
      <c r="AV94" s="1221">
        <v>0</v>
      </c>
      <c r="AW94" s="1221">
        <v>0</v>
      </c>
      <c r="AX94" s="1221">
        <v>0</v>
      </c>
      <c r="AY94" s="1221">
        <v>0</v>
      </c>
      <c r="AZ94" s="1221">
        <v>0</v>
      </c>
      <c r="BA94" s="1221">
        <v>0</v>
      </c>
      <c r="BB94" s="1221">
        <v>0</v>
      </c>
      <c r="BC94" s="1221">
        <v>0</v>
      </c>
      <c r="BD94" s="1221">
        <v>0</v>
      </c>
      <c r="BE94" s="1221">
        <v>0</v>
      </c>
      <c r="BF94" s="1221">
        <v>0</v>
      </c>
      <c r="BG94" s="1221">
        <v>0</v>
      </c>
      <c r="BH94" s="1221">
        <v>0</v>
      </c>
      <c r="BI94" s="1221">
        <v>0</v>
      </c>
      <c r="BJ94" s="1221">
        <v>0</v>
      </c>
      <c r="BK94" s="1221">
        <v>0</v>
      </c>
      <c r="BL94" s="1221">
        <v>0</v>
      </c>
      <c r="BM94" s="1221">
        <v>0</v>
      </c>
      <c r="BN94" s="1221">
        <v>0</v>
      </c>
      <c r="BO94" s="1221">
        <v>0</v>
      </c>
      <c r="BP94" s="1184"/>
      <c r="BQ94" s="1184"/>
      <c r="BR94" s="1184"/>
      <c r="BS94" s="1184"/>
      <c r="BT94" s="1184"/>
      <c r="BU94" s="1184"/>
      <c r="BV94" s="1184"/>
      <c r="BW94" s="1184"/>
      <c r="BX94" s="1184"/>
      <c r="BY94" s="1184"/>
      <c r="BZ94" s="208"/>
      <c r="CA94" s="208"/>
      <c r="CB94" s="208"/>
      <c r="CC94" s="208"/>
      <c r="CD94" s="211"/>
    </row>
    <row r="95" ht="18" customHeight="1">
      <c r="A95" s="1272"/>
      <c r="B95" s="1217"/>
      <c r="C95" s="1217"/>
      <c r="D95" s="1217"/>
      <c r="E95" s="1217"/>
      <c r="F95" s="1217"/>
      <c r="G95" s="1217"/>
      <c r="H95" s="1217"/>
      <c r="I95" s="1217"/>
      <c r="J95" s="1217"/>
      <c r="K95" s="1217"/>
      <c r="L95" s="1217"/>
      <c r="M95" s="1217"/>
      <c r="N95" s="1217"/>
      <c r="O95" s="1221">
        <v>6</v>
      </c>
      <c r="P95" s="1233">
        <f t="shared" si="299" ref="P95:AE110">$F$32</f>
        <v>101277</v>
      </c>
      <c r="Q95" s="1233">
        <f t="shared" si="294"/>
        <v>101277</v>
      </c>
      <c r="R95" s="1233">
        <f t="shared" si="290"/>
        <v>91149</v>
      </c>
      <c r="S95" s="1233">
        <f t="shared" si="287"/>
        <v>81022</v>
      </c>
      <c r="T95" s="1233">
        <f t="shared" si="285"/>
        <v>60766</v>
      </c>
      <c r="U95" s="1233">
        <f t="shared" si="284"/>
        <v>40511</v>
      </c>
      <c r="V95" s="1221">
        <v>0</v>
      </c>
      <c r="W95" s="1221">
        <v>0</v>
      </c>
      <c r="X95" s="1221">
        <v>0</v>
      </c>
      <c r="Y95" s="1221">
        <v>0</v>
      </c>
      <c r="Z95" s="1221">
        <v>0</v>
      </c>
      <c r="AA95" s="1221">
        <v>0</v>
      </c>
      <c r="AB95" s="1221">
        <v>0</v>
      </c>
      <c r="AC95" s="1221">
        <v>0</v>
      </c>
      <c r="AD95" s="1221">
        <v>0</v>
      </c>
      <c r="AE95" s="1221">
        <v>0</v>
      </c>
      <c r="AF95" s="1221">
        <v>0</v>
      </c>
      <c r="AG95" s="1221">
        <v>0</v>
      </c>
      <c r="AH95" s="1221">
        <v>0</v>
      </c>
      <c r="AI95" s="1221">
        <v>0</v>
      </c>
      <c r="AJ95" s="1221">
        <v>0</v>
      </c>
      <c r="AK95" s="1221">
        <v>0</v>
      </c>
      <c r="AL95" s="1221">
        <v>0</v>
      </c>
      <c r="AM95" s="1221">
        <v>0</v>
      </c>
      <c r="AN95" s="1221">
        <v>0</v>
      </c>
      <c r="AO95" s="1221">
        <v>0</v>
      </c>
      <c r="AP95" s="1221">
        <v>0</v>
      </c>
      <c r="AQ95" s="1221">
        <v>0</v>
      </c>
      <c r="AR95" s="1221">
        <v>0</v>
      </c>
      <c r="AS95" s="1221">
        <v>0</v>
      </c>
      <c r="AT95" s="1221">
        <v>0</v>
      </c>
      <c r="AU95" s="1221">
        <v>0</v>
      </c>
      <c r="AV95" s="1221">
        <v>0</v>
      </c>
      <c r="AW95" s="1221">
        <v>0</v>
      </c>
      <c r="AX95" s="1221">
        <v>0</v>
      </c>
      <c r="AY95" s="1221">
        <v>0</v>
      </c>
      <c r="AZ95" s="1221">
        <v>0</v>
      </c>
      <c r="BA95" s="1221">
        <v>0</v>
      </c>
      <c r="BB95" s="1221">
        <v>0</v>
      </c>
      <c r="BC95" s="1221">
        <v>0</v>
      </c>
      <c r="BD95" s="1221">
        <v>0</v>
      </c>
      <c r="BE95" s="1221">
        <v>0</v>
      </c>
      <c r="BF95" s="1221">
        <v>0</v>
      </c>
      <c r="BG95" s="1221">
        <v>0</v>
      </c>
      <c r="BH95" s="1221">
        <v>0</v>
      </c>
      <c r="BI95" s="1221">
        <v>0</v>
      </c>
      <c r="BJ95" s="1221">
        <v>0</v>
      </c>
      <c r="BK95" s="1221">
        <v>0</v>
      </c>
      <c r="BL95" s="1221">
        <v>0</v>
      </c>
      <c r="BM95" s="1221">
        <v>0</v>
      </c>
      <c r="BN95" s="1221">
        <v>0</v>
      </c>
      <c r="BO95" s="1221">
        <v>0</v>
      </c>
      <c r="BP95" s="1184"/>
      <c r="BQ95" s="1184"/>
      <c r="BR95" s="1184"/>
      <c r="BS95" s="1184"/>
      <c r="BT95" s="1184"/>
      <c r="BU95" s="1184"/>
      <c r="BV95" s="1184"/>
      <c r="BW95" s="1184"/>
      <c r="BX95" s="1184"/>
      <c r="BY95" s="1184"/>
      <c r="BZ95" s="208"/>
      <c r="CA95" s="208"/>
      <c r="CB95" s="208"/>
      <c r="CC95" s="208"/>
      <c r="CD95" s="211"/>
    </row>
    <row r="96" ht="18" customHeight="1">
      <c r="A96" s="1272"/>
      <c r="B96" s="1217"/>
      <c r="C96" s="1217"/>
      <c r="D96" s="1217"/>
      <c r="E96" s="1217"/>
      <c r="F96" s="1217"/>
      <c r="G96" s="1217"/>
      <c r="H96" s="1217"/>
      <c r="I96" s="1217"/>
      <c r="J96" s="1217"/>
      <c r="K96" s="1217"/>
      <c r="L96" s="1217"/>
      <c r="M96" s="1217"/>
      <c r="N96" s="1217"/>
      <c r="O96" s="1221">
        <v>7</v>
      </c>
      <c r="P96" s="1233">
        <f t="shared" si="305" ref="P96:AE111">$F$33</f>
        <v>101277</v>
      </c>
      <c r="Q96" s="1233">
        <f t="shared" si="299"/>
        <v>101277</v>
      </c>
      <c r="R96" s="1233">
        <f t="shared" si="294"/>
        <v>101277</v>
      </c>
      <c r="S96" s="1233">
        <f t="shared" si="290"/>
        <v>91149</v>
      </c>
      <c r="T96" s="1233">
        <f t="shared" si="287"/>
        <v>81022</v>
      </c>
      <c r="U96" s="1233">
        <f t="shared" si="285"/>
        <v>60766</v>
      </c>
      <c r="V96" s="1233">
        <f t="shared" si="284"/>
        <v>40511</v>
      </c>
      <c r="W96" s="1221">
        <v>0</v>
      </c>
      <c r="X96" s="1221">
        <v>0</v>
      </c>
      <c r="Y96" s="1221">
        <v>0</v>
      </c>
      <c r="Z96" s="1221">
        <v>0</v>
      </c>
      <c r="AA96" s="1221">
        <v>0</v>
      </c>
      <c r="AB96" s="1221">
        <v>0</v>
      </c>
      <c r="AC96" s="1221">
        <v>0</v>
      </c>
      <c r="AD96" s="1221">
        <v>0</v>
      </c>
      <c r="AE96" s="1221">
        <v>0</v>
      </c>
      <c r="AF96" s="1221">
        <v>0</v>
      </c>
      <c r="AG96" s="1221">
        <v>0</v>
      </c>
      <c r="AH96" s="1221">
        <v>0</v>
      </c>
      <c r="AI96" s="1221">
        <v>0</v>
      </c>
      <c r="AJ96" s="1221">
        <v>0</v>
      </c>
      <c r="AK96" s="1221">
        <v>0</v>
      </c>
      <c r="AL96" s="1221">
        <v>0</v>
      </c>
      <c r="AM96" s="1221">
        <v>0</v>
      </c>
      <c r="AN96" s="1221">
        <v>0</v>
      </c>
      <c r="AO96" s="1221">
        <v>0</v>
      </c>
      <c r="AP96" s="1221">
        <v>0</v>
      </c>
      <c r="AQ96" s="1221">
        <v>0</v>
      </c>
      <c r="AR96" s="1221">
        <v>0</v>
      </c>
      <c r="AS96" s="1221">
        <v>0</v>
      </c>
      <c r="AT96" s="1221">
        <v>0</v>
      </c>
      <c r="AU96" s="1221">
        <v>0</v>
      </c>
      <c r="AV96" s="1221">
        <v>0</v>
      </c>
      <c r="AW96" s="1221">
        <v>0</v>
      </c>
      <c r="AX96" s="1221">
        <v>0</v>
      </c>
      <c r="AY96" s="1221">
        <v>0</v>
      </c>
      <c r="AZ96" s="1221">
        <v>0</v>
      </c>
      <c r="BA96" s="1221">
        <v>0</v>
      </c>
      <c r="BB96" s="1221">
        <v>0</v>
      </c>
      <c r="BC96" s="1221">
        <v>0</v>
      </c>
      <c r="BD96" s="1221">
        <v>0</v>
      </c>
      <c r="BE96" s="1221">
        <v>0</v>
      </c>
      <c r="BF96" s="1221">
        <v>0</v>
      </c>
      <c r="BG96" s="1221">
        <v>0</v>
      </c>
      <c r="BH96" s="1221">
        <v>0</v>
      </c>
      <c r="BI96" s="1221">
        <v>0</v>
      </c>
      <c r="BJ96" s="1221">
        <v>0</v>
      </c>
      <c r="BK96" s="1221">
        <v>0</v>
      </c>
      <c r="BL96" s="1221">
        <v>0</v>
      </c>
      <c r="BM96" s="1221">
        <v>0</v>
      </c>
      <c r="BN96" s="1221">
        <v>0</v>
      </c>
      <c r="BO96" s="1221">
        <v>0</v>
      </c>
      <c r="BP96" s="1184"/>
      <c r="BQ96" s="1184"/>
      <c r="BR96" s="1184"/>
      <c r="BS96" s="1184"/>
      <c r="BT96" s="1184"/>
      <c r="BU96" s="1184"/>
      <c r="BV96" s="1184"/>
      <c r="BW96" s="1184"/>
      <c r="BX96" s="1184"/>
      <c r="BY96" s="1184"/>
      <c r="BZ96" s="208"/>
      <c r="CA96" s="208"/>
      <c r="CB96" s="208"/>
      <c r="CC96" s="208"/>
      <c r="CD96" s="211"/>
    </row>
    <row r="97" ht="18" customHeight="1">
      <c r="A97" s="1272"/>
      <c r="B97" s="1217"/>
      <c r="C97" s="1217"/>
      <c r="D97" s="1217"/>
      <c r="E97" s="1217"/>
      <c r="F97" s="1217"/>
      <c r="G97" s="1217"/>
      <c r="H97" s="1217"/>
      <c r="I97" s="1217"/>
      <c r="J97" s="1217"/>
      <c r="K97" s="1217"/>
      <c r="L97" s="1217"/>
      <c r="M97" s="1217"/>
      <c r="N97" s="1217"/>
      <c r="O97" s="1221">
        <v>8</v>
      </c>
      <c r="P97" s="1233">
        <f t="shared" si="312" ref="P97:AE112">$F$34</f>
        <v>101277</v>
      </c>
      <c r="Q97" s="1233">
        <f t="shared" si="305"/>
        <v>101277</v>
      </c>
      <c r="R97" s="1233">
        <f t="shared" si="299"/>
        <v>101277</v>
      </c>
      <c r="S97" s="1233">
        <f t="shared" si="294"/>
        <v>101277</v>
      </c>
      <c r="T97" s="1233">
        <f t="shared" si="290"/>
        <v>91149</v>
      </c>
      <c r="U97" s="1233">
        <f t="shared" si="287"/>
        <v>81022</v>
      </c>
      <c r="V97" s="1233">
        <f t="shared" si="285"/>
        <v>60766</v>
      </c>
      <c r="W97" s="1233">
        <f t="shared" si="284"/>
        <v>40511</v>
      </c>
      <c r="X97" s="1221">
        <v>0</v>
      </c>
      <c r="Y97" s="1221">
        <v>0</v>
      </c>
      <c r="Z97" s="1221">
        <v>0</v>
      </c>
      <c r="AA97" s="1221">
        <v>0</v>
      </c>
      <c r="AB97" s="1221">
        <v>0</v>
      </c>
      <c r="AC97" s="1221">
        <v>0</v>
      </c>
      <c r="AD97" s="1221">
        <v>0</v>
      </c>
      <c r="AE97" s="1221">
        <v>0</v>
      </c>
      <c r="AF97" s="1221">
        <v>0</v>
      </c>
      <c r="AG97" s="1221">
        <v>0</v>
      </c>
      <c r="AH97" s="1221">
        <v>0</v>
      </c>
      <c r="AI97" s="1221">
        <v>0</v>
      </c>
      <c r="AJ97" s="1221">
        <v>0</v>
      </c>
      <c r="AK97" s="1221">
        <v>0</v>
      </c>
      <c r="AL97" s="1221">
        <v>0</v>
      </c>
      <c r="AM97" s="1221">
        <v>0</v>
      </c>
      <c r="AN97" s="1221">
        <v>0</v>
      </c>
      <c r="AO97" s="1221">
        <v>0</v>
      </c>
      <c r="AP97" s="1221">
        <v>0</v>
      </c>
      <c r="AQ97" s="1221">
        <v>0</v>
      </c>
      <c r="AR97" s="1221">
        <v>0</v>
      </c>
      <c r="AS97" s="1221">
        <v>0</v>
      </c>
      <c r="AT97" s="1221">
        <v>0</v>
      </c>
      <c r="AU97" s="1221">
        <v>0</v>
      </c>
      <c r="AV97" s="1221">
        <v>0</v>
      </c>
      <c r="AW97" s="1221">
        <v>0</v>
      </c>
      <c r="AX97" s="1221">
        <v>0</v>
      </c>
      <c r="AY97" s="1221">
        <v>0</v>
      </c>
      <c r="AZ97" s="1221">
        <v>0</v>
      </c>
      <c r="BA97" s="1221">
        <v>0</v>
      </c>
      <c r="BB97" s="1221">
        <v>0</v>
      </c>
      <c r="BC97" s="1221">
        <v>0</v>
      </c>
      <c r="BD97" s="1221">
        <v>0</v>
      </c>
      <c r="BE97" s="1221">
        <v>0</v>
      </c>
      <c r="BF97" s="1221">
        <v>0</v>
      </c>
      <c r="BG97" s="1221">
        <v>0</v>
      </c>
      <c r="BH97" s="1221">
        <v>0</v>
      </c>
      <c r="BI97" s="1221">
        <v>0</v>
      </c>
      <c r="BJ97" s="1221">
        <v>0</v>
      </c>
      <c r="BK97" s="1221">
        <v>0</v>
      </c>
      <c r="BL97" s="1221">
        <v>0</v>
      </c>
      <c r="BM97" s="1221">
        <v>0</v>
      </c>
      <c r="BN97" s="1221">
        <v>0</v>
      </c>
      <c r="BO97" s="1221">
        <v>0</v>
      </c>
      <c r="BP97" s="1184"/>
      <c r="BQ97" s="1184"/>
      <c r="BR97" s="1184"/>
      <c r="BS97" s="1184"/>
      <c r="BT97" s="1184"/>
      <c r="BU97" s="1184"/>
      <c r="BV97" s="1184"/>
      <c r="BW97" s="1184"/>
      <c r="BX97" s="1184"/>
      <c r="BY97" s="1184"/>
      <c r="BZ97" s="208"/>
      <c r="CA97" s="208"/>
      <c r="CB97" s="208"/>
      <c r="CC97" s="208"/>
      <c r="CD97" s="211"/>
    </row>
    <row r="98" ht="18" customHeight="1">
      <c r="A98" s="1272"/>
      <c r="B98" s="1217"/>
      <c r="C98" s="1217"/>
      <c r="D98" s="1217"/>
      <c r="E98" s="1217"/>
      <c r="F98" s="1217"/>
      <c r="G98" s="1217"/>
      <c r="H98" s="1217"/>
      <c r="I98" s="1217"/>
      <c r="J98" s="1217"/>
      <c r="K98" s="1217"/>
      <c r="L98" s="1217"/>
      <c r="M98" s="1217"/>
      <c r="N98" s="1217"/>
      <c r="O98" s="1221">
        <v>9</v>
      </c>
      <c r="P98" s="1233">
        <f t="shared" si="320" ref="P98:AE113">$F$35</f>
        <v>91149</v>
      </c>
      <c r="Q98" s="1233">
        <f t="shared" si="312"/>
        <v>101277</v>
      </c>
      <c r="R98" s="1233">
        <f t="shared" si="305"/>
        <v>101277</v>
      </c>
      <c r="S98" s="1233">
        <f t="shared" si="299"/>
        <v>101277</v>
      </c>
      <c r="T98" s="1233">
        <f t="shared" si="294"/>
        <v>101277</v>
      </c>
      <c r="U98" s="1233">
        <f t="shared" si="290"/>
        <v>91149</v>
      </c>
      <c r="V98" s="1233">
        <f t="shared" si="287"/>
        <v>81022</v>
      </c>
      <c r="W98" s="1233">
        <f t="shared" si="285"/>
        <v>60766</v>
      </c>
      <c r="X98" s="1233">
        <f t="shared" si="284"/>
        <v>40511</v>
      </c>
      <c r="Y98" s="1221">
        <v>0</v>
      </c>
      <c r="Z98" s="1221">
        <v>0</v>
      </c>
      <c r="AA98" s="1221">
        <v>0</v>
      </c>
      <c r="AB98" s="1221">
        <v>0</v>
      </c>
      <c r="AC98" s="1221">
        <v>0</v>
      </c>
      <c r="AD98" s="1221">
        <v>0</v>
      </c>
      <c r="AE98" s="1221">
        <v>0</v>
      </c>
      <c r="AF98" s="1221">
        <v>0</v>
      </c>
      <c r="AG98" s="1221">
        <v>0</v>
      </c>
      <c r="AH98" s="1221">
        <v>0</v>
      </c>
      <c r="AI98" s="1221">
        <v>0</v>
      </c>
      <c r="AJ98" s="1221">
        <v>0</v>
      </c>
      <c r="AK98" s="1221">
        <v>0</v>
      </c>
      <c r="AL98" s="1221">
        <v>0</v>
      </c>
      <c r="AM98" s="1221">
        <v>0</v>
      </c>
      <c r="AN98" s="1221">
        <v>0</v>
      </c>
      <c r="AO98" s="1221">
        <v>0</v>
      </c>
      <c r="AP98" s="1221">
        <v>0</v>
      </c>
      <c r="AQ98" s="1221">
        <v>0</v>
      </c>
      <c r="AR98" s="1221">
        <v>0</v>
      </c>
      <c r="AS98" s="1221">
        <v>0</v>
      </c>
      <c r="AT98" s="1221">
        <v>0</v>
      </c>
      <c r="AU98" s="1221">
        <v>0</v>
      </c>
      <c r="AV98" s="1221">
        <v>0</v>
      </c>
      <c r="AW98" s="1221">
        <v>0</v>
      </c>
      <c r="AX98" s="1221">
        <v>0</v>
      </c>
      <c r="AY98" s="1221">
        <v>0</v>
      </c>
      <c r="AZ98" s="1221">
        <v>0</v>
      </c>
      <c r="BA98" s="1221">
        <v>0</v>
      </c>
      <c r="BB98" s="1221">
        <v>0</v>
      </c>
      <c r="BC98" s="1221">
        <v>0</v>
      </c>
      <c r="BD98" s="1221">
        <v>0</v>
      </c>
      <c r="BE98" s="1221">
        <v>0</v>
      </c>
      <c r="BF98" s="1221">
        <v>0</v>
      </c>
      <c r="BG98" s="1221">
        <v>0</v>
      </c>
      <c r="BH98" s="1221">
        <v>0</v>
      </c>
      <c r="BI98" s="1221">
        <v>0</v>
      </c>
      <c r="BJ98" s="1221">
        <v>0</v>
      </c>
      <c r="BK98" s="1221">
        <v>0</v>
      </c>
      <c r="BL98" s="1221">
        <v>0</v>
      </c>
      <c r="BM98" s="1221">
        <v>0</v>
      </c>
      <c r="BN98" s="1221">
        <v>0</v>
      </c>
      <c r="BO98" s="1221">
        <v>0</v>
      </c>
      <c r="BP98" s="1184"/>
      <c r="BQ98" s="1184"/>
      <c r="BR98" s="1184"/>
      <c r="BS98" s="1184"/>
      <c r="BT98" s="1184"/>
      <c r="BU98" s="1184"/>
      <c r="BV98" s="1184"/>
      <c r="BW98" s="1184"/>
      <c r="BX98" s="1184"/>
      <c r="BY98" s="1184"/>
      <c r="BZ98" s="208"/>
      <c r="CA98" s="208"/>
      <c r="CB98" s="208"/>
      <c r="CC98" s="208"/>
      <c r="CD98" s="211"/>
    </row>
    <row r="99" ht="18" customHeight="1">
      <c r="A99" s="1272"/>
      <c r="B99" s="1217"/>
      <c r="C99" s="1217"/>
      <c r="D99" s="1217"/>
      <c r="E99" s="1217"/>
      <c r="F99" s="1217"/>
      <c r="G99" s="1217"/>
      <c r="H99" s="1217"/>
      <c r="I99" s="1217"/>
      <c r="J99" s="1217"/>
      <c r="K99" s="1217"/>
      <c r="L99" s="1217"/>
      <c r="M99" s="1217"/>
      <c r="N99" s="1217"/>
      <c r="O99" s="1221">
        <v>10</v>
      </c>
      <c r="P99" s="1233">
        <f t="shared" si="329" ref="P99:AE114">$F$36</f>
        <v>81022</v>
      </c>
      <c r="Q99" s="1233">
        <f t="shared" si="320"/>
        <v>91149</v>
      </c>
      <c r="R99" s="1233">
        <f t="shared" si="312"/>
        <v>101277</v>
      </c>
      <c r="S99" s="1233">
        <f t="shared" si="305"/>
        <v>101277</v>
      </c>
      <c r="T99" s="1233">
        <f t="shared" si="299"/>
        <v>101277</v>
      </c>
      <c r="U99" s="1233">
        <f t="shared" si="294"/>
        <v>101277</v>
      </c>
      <c r="V99" s="1233">
        <f t="shared" si="290"/>
        <v>91149</v>
      </c>
      <c r="W99" s="1233">
        <f t="shared" si="287"/>
        <v>81022</v>
      </c>
      <c r="X99" s="1233">
        <f t="shared" si="285"/>
        <v>60766</v>
      </c>
      <c r="Y99" s="1233">
        <f t="shared" si="284"/>
        <v>40511</v>
      </c>
      <c r="Z99" s="1221">
        <v>0</v>
      </c>
      <c r="AA99" s="1221">
        <v>0</v>
      </c>
      <c r="AB99" s="1221">
        <v>0</v>
      </c>
      <c r="AC99" s="1221">
        <v>0</v>
      </c>
      <c r="AD99" s="1221">
        <v>0</v>
      </c>
      <c r="AE99" s="1221">
        <v>0</v>
      </c>
      <c r="AF99" s="1221">
        <v>0</v>
      </c>
      <c r="AG99" s="1221">
        <v>0</v>
      </c>
      <c r="AH99" s="1221">
        <v>0</v>
      </c>
      <c r="AI99" s="1221">
        <v>0</v>
      </c>
      <c r="AJ99" s="1221">
        <v>0</v>
      </c>
      <c r="AK99" s="1221">
        <v>0</v>
      </c>
      <c r="AL99" s="1221">
        <v>0</v>
      </c>
      <c r="AM99" s="1221">
        <v>0</v>
      </c>
      <c r="AN99" s="1221">
        <v>0</v>
      </c>
      <c r="AO99" s="1221">
        <v>0</v>
      </c>
      <c r="AP99" s="1221">
        <v>0</v>
      </c>
      <c r="AQ99" s="1221">
        <v>0</v>
      </c>
      <c r="AR99" s="1221">
        <v>0</v>
      </c>
      <c r="AS99" s="1221">
        <v>0</v>
      </c>
      <c r="AT99" s="1221">
        <v>0</v>
      </c>
      <c r="AU99" s="1221">
        <v>0</v>
      </c>
      <c r="AV99" s="1221">
        <v>0</v>
      </c>
      <c r="AW99" s="1221">
        <v>0</v>
      </c>
      <c r="AX99" s="1221">
        <v>0</v>
      </c>
      <c r="AY99" s="1221">
        <v>0</v>
      </c>
      <c r="AZ99" s="1221">
        <v>0</v>
      </c>
      <c r="BA99" s="1221">
        <v>0</v>
      </c>
      <c r="BB99" s="1221">
        <v>0</v>
      </c>
      <c r="BC99" s="1221">
        <v>0</v>
      </c>
      <c r="BD99" s="1221">
        <v>0</v>
      </c>
      <c r="BE99" s="1221">
        <v>0</v>
      </c>
      <c r="BF99" s="1221">
        <v>0</v>
      </c>
      <c r="BG99" s="1221">
        <v>0</v>
      </c>
      <c r="BH99" s="1221">
        <v>0</v>
      </c>
      <c r="BI99" s="1221">
        <v>0</v>
      </c>
      <c r="BJ99" s="1221">
        <v>0</v>
      </c>
      <c r="BK99" s="1221">
        <v>0</v>
      </c>
      <c r="BL99" s="1221">
        <v>0</v>
      </c>
      <c r="BM99" s="1221">
        <v>0</v>
      </c>
      <c r="BN99" s="1221">
        <v>0</v>
      </c>
      <c r="BO99" s="1221">
        <v>0</v>
      </c>
      <c r="BP99" s="1184"/>
      <c r="BQ99" s="1184"/>
      <c r="BR99" s="1184"/>
      <c r="BS99" s="1184"/>
      <c r="BT99" s="1184"/>
      <c r="BU99" s="1184"/>
      <c r="BV99" s="1184"/>
      <c r="BW99" s="1184"/>
      <c r="BX99" s="1184"/>
      <c r="BY99" s="1184"/>
      <c r="BZ99" s="208"/>
      <c r="CA99" s="208"/>
      <c r="CB99" s="208"/>
      <c r="CC99" s="208"/>
      <c r="CD99" s="211"/>
    </row>
    <row r="100" ht="18" customHeight="1">
      <c r="A100" s="1272"/>
      <c r="B100" s="1217"/>
      <c r="C100" s="1217"/>
      <c r="D100" s="1217"/>
      <c r="E100" s="1217"/>
      <c r="F100" s="1217"/>
      <c r="G100" s="1217"/>
      <c r="H100" s="1217"/>
      <c r="I100" s="1217"/>
      <c r="J100" s="1217"/>
      <c r="K100" s="1217"/>
      <c r="L100" s="1217"/>
      <c r="M100" s="1217"/>
      <c r="N100" s="1217"/>
      <c r="O100" s="1221">
        <v>11</v>
      </c>
      <c r="P100" s="1233">
        <f t="shared" si="339" ref="P100:AE115">$F$37</f>
        <v>70894</v>
      </c>
      <c r="Q100" s="1233">
        <f t="shared" si="329"/>
        <v>81022</v>
      </c>
      <c r="R100" s="1233">
        <f t="shared" si="320"/>
        <v>91149</v>
      </c>
      <c r="S100" s="1233">
        <f t="shared" si="312"/>
        <v>101277</v>
      </c>
      <c r="T100" s="1233">
        <f t="shared" si="305"/>
        <v>101277</v>
      </c>
      <c r="U100" s="1233">
        <f t="shared" si="299"/>
        <v>101277</v>
      </c>
      <c r="V100" s="1233">
        <f t="shared" si="294"/>
        <v>101277</v>
      </c>
      <c r="W100" s="1233">
        <f t="shared" si="290"/>
        <v>91149</v>
      </c>
      <c r="X100" s="1233">
        <f t="shared" si="287"/>
        <v>81022</v>
      </c>
      <c r="Y100" s="1233">
        <f t="shared" si="285"/>
        <v>60766</v>
      </c>
      <c r="Z100" s="1233">
        <f t="shared" si="284"/>
        <v>40511</v>
      </c>
      <c r="AA100" s="1221">
        <v>0</v>
      </c>
      <c r="AB100" s="1221">
        <v>0</v>
      </c>
      <c r="AC100" s="1221">
        <v>0</v>
      </c>
      <c r="AD100" s="1221">
        <v>0</v>
      </c>
      <c r="AE100" s="1221">
        <v>0</v>
      </c>
      <c r="AF100" s="1221">
        <v>0</v>
      </c>
      <c r="AG100" s="1221">
        <v>0</v>
      </c>
      <c r="AH100" s="1221">
        <v>0</v>
      </c>
      <c r="AI100" s="1221">
        <v>0</v>
      </c>
      <c r="AJ100" s="1221">
        <v>0</v>
      </c>
      <c r="AK100" s="1221">
        <v>0</v>
      </c>
      <c r="AL100" s="1221">
        <v>0</v>
      </c>
      <c r="AM100" s="1221">
        <v>0</v>
      </c>
      <c r="AN100" s="1221">
        <v>0</v>
      </c>
      <c r="AO100" s="1221">
        <v>0</v>
      </c>
      <c r="AP100" s="1221">
        <v>0</v>
      </c>
      <c r="AQ100" s="1221">
        <v>0</v>
      </c>
      <c r="AR100" s="1221">
        <v>0</v>
      </c>
      <c r="AS100" s="1221">
        <v>0</v>
      </c>
      <c r="AT100" s="1221">
        <v>0</v>
      </c>
      <c r="AU100" s="1221">
        <v>0</v>
      </c>
      <c r="AV100" s="1221">
        <v>0</v>
      </c>
      <c r="AW100" s="1221">
        <v>0</v>
      </c>
      <c r="AX100" s="1221">
        <v>0</v>
      </c>
      <c r="AY100" s="1221">
        <v>0</v>
      </c>
      <c r="AZ100" s="1221">
        <v>0</v>
      </c>
      <c r="BA100" s="1221">
        <v>0</v>
      </c>
      <c r="BB100" s="1221">
        <v>0</v>
      </c>
      <c r="BC100" s="1221">
        <v>0</v>
      </c>
      <c r="BD100" s="1221">
        <v>0</v>
      </c>
      <c r="BE100" s="1221">
        <v>0</v>
      </c>
      <c r="BF100" s="1221">
        <v>0</v>
      </c>
      <c r="BG100" s="1221">
        <v>0</v>
      </c>
      <c r="BH100" s="1221">
        <v>0</v>
      </c>
      <c r="BI100" s="1221">
        <v>0</v>
      </c>
      <c r="BJ100" s="1221">
        <v>0</v>
      </c>
      <c r="BK100" s="1221">
        <v>0</v>
      </c>
      <c r="BL100" s="1221">
        <v>0</v>
      </c>
      <c r="BM100" s="1221">
        <v>0</v>
      </c>
      <c r="BN100" s="1221">
        <v>0</v>
      </c>
      <c r="BO100" s="1221">
        <v>0</v>
      </c>
      <c r="BP100" s="1184"/>
      <c r="BQ100" s="1184"/>
      <c r="BR100" s="1184"/>
      <c r="BS100" s="1184"/>
      <c r="BT100" s="1184"/>
      <c r="BU100" s="1184"/>
      <c r="BV100" s="1184"/>
      <c r="BW100" s="1184"/>
      <c r="BX100" s="1184"/>
      <c r="BY100" s="1184"/>
      <c r="BZ100" s="208"/>
      <c r="CA100" s="208"/>
      <c r="CB100" s="208"/>
      <c r="CC100" s="208"/>
      <c r="CD100" s="211"/>
    </row>
    <row r="101" ht="18" customHeight="1">
      <c r="A101" s="1272"/>
      <c r="B101" s="1217"/>
      <c r="C101" s="1217"/>
      <c r="D101" s="1217"/>
      <c r="E101" s="1217"/>
      <c r="F101" s="1217"/>
      <c r="G101" s="1217"/>
      <c r="H101" s="1217"/>
      <c r="I101" s="1217"/>
      <c r="J101" s="1217"/>
      <c r="K101" s="1217"/>
      <c r="L101" s="1217"/>
      <c r="M101" s="1217"/>
      <c r="N101" s="1217"/>
      <c r="O101" s="1221">
        <v>12</v>
      </c>
      <c r="P101" s="1233">
        <f t="shared" si="350" ref="P101:AE116">$F$38</f>
        <v>91149</v>
      </c>
      <c r="Q101" s="1233">
        <f t="shared" si="339"/>
        <v>70894</v>
      </c>
      <c r="R101" s="1233">
        <f t="shared" si="329"/>
        <v>81022</v>
      </c>
      <c r="S101" s="1233">
        <f t="shared" si="320"/>
        <v>91149</v>
      </c>
      <c r="T101" s="1233">
        <f t="shared" si="312"/>
        <v>101277</v>
      </c>
      <c r="U101" s="1233">
        <f t="shared" si="305"/>
        <v>101277</v>
      </c>
      <c r="V101" s="1233">
        <f t="shared" si="299"/>
        <v>101277</v>
      </c>
      <c r="W101" s="1233">
        <f t="shared" si="294"/>
        <v>101277</v>
      </c>
      <c r="X101" s="1233">
        <f t="shared" si="290"/>
        <v>91149</v>
      </c>
      <c r="Y101" s="1233">
        <f t="shared" si="287"/>
        <v>81022</v>
      </c>
      <c r="Z101" s="1233">
        <f t="shared" si="285"/>
        <v>60766</v>
      </c>
      <c r="AA101" s="1233">
        <f t="shared" si="284"/>
        <v>40511</v>
      </c>
      <c r="AB101" s="1221">
        <v>0</v>
      </c>
      <c r="AC101" s="1221">
        <v>0</v>
      </c>
      <c r="AD101" s="1221">
        <v>0</v>
      </c>
      <c r="AE101" s="1221">
        <v>0</v>
      </c>
      <c r="AF101" s="1221">
        <v>0</v>
      </c>
      <c r="AG101" s="1221">
        <v>0</v>
      </c>
      <c r="AH101" s="1221">
        <v>0</v>
      </c>
      <c r="AI101" s="1221">
        <v>0</v>
      </c>
      <c r="AJ101" s="1221">
        <v>0</v>
      </c>
      <c r="AK101" s="1221">
        <v>0</v>
      </c>
      <c r="AL101" s="1221">
        <v>0</v>
      </c>
      <c r="AM101" s="1221">
        <v>0</v>
      </c>
      <c r="AN101" s="1221">
        <v>0</v>
      </c>
      <c r="AO101" s="1221">
        <v>0</v>
      </c>
      <c r="AP101" s="1221">
        <v>0</v>
      </c>
      <c r="AQ101" s="1221">
        <v>0</v>
      </c>
      <c r="AR101" s="1221">
        <v>0</v>
      </c>
      <c r="AS101" s="1221">
        <v>0</v>
      </c>
      <c r="AT101" s="1221">
        <v>0</v>
      </c>
      <c r="AU101" s="1221">
        <v>0</v>
      </c>
      <c r="AV101" s="1221">
        <v>0</v>
      </c>
      <c r="AW101" s="1221">
        <v>0</v>
      </c>
      <c r="AX101" s="1221">
        <v>0</v>
      </c>
      <c r="AY101" s="1221">
        <v>0</v>
      </c>
      <c r="AZ101" s="1221">
        <v>0</v>
      </c>
      <c r="BA101" s="1221">
        <v>0</v>
      </c>
      <c r="BB101" s="1221">
        <v>0</v>
      </c>
      <c r="BC101" s="1221">
        <v>0</v>
      </c>
      <c r="BD101" s="1221">
        <v>0</v>
      </c>
      <c r="BE101" s="1221">
        <v>0</v>
      </c>
      <c r="BF101" s="1221">
        <v>0</v>
      </c>
      <c r="BG101" s="1221">
        <v>0</v>
      </c>
      <c r="BH101" s="1221">
        <v>0</v>
      </c>
      <c r="BI101" s="1221">
        <v>0</v>
      </c>
      <c r="BJ101" s="1221">
        <v>0</v>
      </c>
      <c r="BK101" s="1221">
        <v>0</v>
      </c>
      <c r="BL101" s="1221">
        <v>0</v>
      </c>
      <c r="BM101" s="1221">
        <v>0</v>
      </c>
      <c r="BN101" s="1221">
        <v>0</v>
      </c>
      <c r="BO101" s="1221">
        <v>0</v>
      </c>
      <c r="BP101" s="1184"/>
      <c r="BQ101" s="1184"/>
      <c r="BR101" s="1184"/>
      <c r="BS101" s="1184"/>
      <c r="BT101" s="1184"/>
      <c r="BU101" s="1184"/>
      <c r="BV101" s="1184"/>
      <c r="BW101" s="1184"/>
      <c r="BX101" s="1184"/>
      <c r="BY101" s="1184"/>
      <c r="BZ101" s="208"/>
      <c r="CA101" s="208"/>
      <c r="CB101" s="208"/>
      <c r="CC101" s="208"/>
      <c r="CD101" s="211"/>
    </row>
    <row r="102" ht="18" customHeight="1">
      <c r="A102" s="1272"/>
      <c r="B102" s="1217"/>
      <c r="C102" s="1217"/>
      <c r="D102" s="1217"/>
      <c r="E102" s="1217"/>
      <c r="F102" s="1217"/>
      <c r="G102" s="1217"/>
      <c r="H102" s="1217"/>
      <c r="I102" s="1217"/>
      <c r="J102" s="1217"/>
      <c r="K102" s="1217"/>
      <c r="L102" s="1217"/>
      <c r="M102" s="1217"/>
      <c r="N102" s="1217"/>
      <c r="O102" s="1221">
        <v>13</v>
      </c>
      <c r="P102" s="1233">
        <f t="shared" si="362" ref="P102:AE117">$F$39</f>
        <v>0</v>
      </c>
      <c r="Q102" s="1233">
        <f t="shared" si="350"/>
        <v>91149</v>
      </c>
      <c r="R102" s="1233">
        <f t="shared" si="339"/>
        <v>70894</v>
      </c>
      <c r="S102" s="1233">
        <f t="shared" si="329"/>
        <v>81022</v>
      </c>
      <c r="T102" s="1233">
        <f t="shared" si="320"/>
        <v>91149</v>
      </c>
      <c r="U102" s="1233">
        <f t="shared" si="312"/>
        <v>101277</v>
      </c>
      <c r="V102" s="1233">
        <f t="shared" si="305"/>
        <v>101277</v>
      </c>
      <c r="W102" s="1233">
        <f t="shared" si="299"/>
        <v>101277</v>
      </c>
      <c r="X102" s="1233">
        <f t="shared" si="294"/>
        <v>101277</v>
      </c>
      <c r="Y102" s="1233">
        <f t="shared" si="290"/>
        <v>91149</v>
      </c>
      <c r="Z102" s="1233">
        <f t="shared" si="287"/>
        <v>81022</v>
      </c>
      <c r="AA102" s="1233">
        <f t="shared" si="285"/>
        <v>60766</v>
      </c>
      <c r="AB102" s="1233">
        <f t="shared" si="284"/>
        <v>40511</v>
      </c>
      <c r="AC102" s="1221">
        <v>0</v>
      </c>
      <c r="AD102" s="1221">
        <v>0</v>
      </c>
      <c r="AE102" s="1221">
        <v>0</v>
      </c>
      <c r="AF102" s="1221">
        <v>0</v>
      </c>
      <c r="AG102" s="1221">
        <v>0</v>
      </c>
      <c r="AH102" s="1221">
        <v>0</v>
      </c>
      <c r="AI102" s="1221">
        <v>0</v>
      </c>
      <c r="AJ102" s="1221">
        <v>0</v>
      </c>
      <c r="AK102" s="1221">
        <v>0</v>
      </c>
      <c r="AL102" s="1221">
        <v>0</v>
      </c>
      <c r="AM102" s="1221">
        <v>0</v>
      </c>
      <c r="AN102" s="1221">
        <v>0</v>
      </c>
      <c r="AO102" s="1221">
        <v>0</v>
      </c>
      <c r="AP102" s="1221">
        <v>0</v>
      </c>
      <c r="AQ102" s="1221">
        <v>0</v>
      </c>
      <c r="AR102" s="1221">
        <v>0</v>
      </c>
      <c r="AS102" s="1221">
        <v>0</v>
      </c>
      <c r="AT102" s="1221">
        <v>0</v>
      </c>
      <c r="AU102" s="1221">
        <v>0</v>
      </c>
      <c r="AV102" s="1221">
        <v>0</v>
      </c>
      <c r="AW102" s="1221">
        <v>0</v>
      </c>
      <c r="AX102" s="1221">
        <v>0</v>
      </c>
      <c r="AY102" s="1221">
        <v>0</v>
      </c>
      <c r="AZ102" s="1221">
        <v>0</v>
      </c>
      <c r="BA102" s="1221">
        <v>0</v>
      </c>
      <c r="BB102" s="1221">
        <v>0</v>
      </c>
      <c r="BC102" s="1221">
        <v>0</v>
      </c>
      <c r="BD102" s="1221">
        <v>0</v>
      </c>
      <c r="BE102" s="1221">
        <v>0</v>
      </c>
      <c r="BF102" s="1221">
        <v>0</v>
      </c>
      <c r="BG102" s="1221">
        <v>0</v>
      </c>
      <c r="BH102" s="1221">
        <v>0</v>
      </c>
      <c r="BI102" s="1221">
        <v>0</v>
      </c>
      <c r="BJ102" s="1221">
        <v>0</v>
      </c>
      <c r="BK102" s="1221">
        <v>0</v>
      </c>
      <c r="BL102" s="1221">
        <v>0</v>
      </c>
      <c r="BM102" s="1221">
        <v>0</v>
      </c>
      <c r="BN102" s="1221">
        <v>0</v>
      </c>
      <c r="BO102" s="1221">
        <v>0</v>
      </c>
      <c r="BP102" s="1184"/>
      <c r="BQ102" s="1184"/>
      <c r="BR102" s="1184"/>
      <c r="BS102" s="1184"/>
      <c r="BT102" s="1184"/>
      <c r="BU102" s="1184"/>
      <c r="BV102" s="1184"/>
      <c r="BW102" s="1184"/>
      <c r="BX102" s="1184"/>
      <c r="BY102" s="1184"/>
      <c r="BZ102" s="208"/>
      <c r="CA102" s="208"/>
      <c r="CB102" s="208"/>
      <c r="CC102" s="208"/>
      <c r="CD102" s="211"/>
    </row>
    <row r="103" ht="18" customHeight="1">
      <c r="A103" s="1272"/>
      <c r="B103" s="1217"/>
      <c r="C103" s="1217"/>
      <c r="D103" s="1217"/>
      <c r="E103" s="1217"/>
      <c r="F103" s="1217"/>
      <c r="G103" s="1217"/>
      <c r="H103" s="1217"/>
      <c r="I103" s="1217"/>
      <c r="J103" s="1217"/>
      <c r="K103" s="1217"/>
      <c r="L103" s="1217"/>
      <c r="M103" s="1217"/>
      <c r="N103" s="1217"/>
      <c r="O103" s="1221">
        <v>15</v>
      </c>
      <c r="P103" s="1233">
        <f t="shared" si="375" ref="P103:AE118">$F$40</f>
        <v>0</v>
      </c>
      <c r="Q103" s="1233">
        <f t="shared" si="362"/>
        <v>0</v>
      </c>
      <c r="R103" s="1233">
        <f t="shared" si="350"/>
        <v>91149</v>
      </c>
      <c r="S103" s="1233">
        <f t="shared" si="339"/>
        <v>70894</v>
      </c>
      <c r="T103" s="1233">
        <f t="shared" si="329"/>
        <v>81022</v>
      </c>
      <c r="U103" s="1233">
        <f t="shared" si="320"/>
        <v>91149</v>
      </c>
      <c r="V103" s="1233">
        <f t="shared" si="312"/>
        <v>101277</v>
      </c>
      <c r="W103" s="1233">
        <f t="shared" si="305"/>
        <v>101277</v>
      </c>
      <c r="X103" s="1233">
        <f t="shared" si="299"/>
        <v>101277</v>
      </c>
      <c r="Y103" s="1233">
        <f t="shared" si="294"/>
        <v>101277</v>
      </c>
      <c r="Z103" s="1233">
        <f t="shared" si="290"/>
        <v>91149</v>
      </c>
      <c r="AA103" s="1233">
        <f t="shared" si="287"/>
        <v>81022</v>
      </c>
      <c r="AB103" s="1233">
        <f t="shared" si="285"/>
        <v>60766</v>
      </c>
      <c r="AC103" s="1233">
        <f t="shared" si="284"/>
        <v>40511</v>
      </c>
      <c r="AD103" s="1221">
        <v>0</v>
      </c>
      <c r="AE103" s="1221">
        <v>0</v>
      </c>
      <c r="AF103" s="1221">
        <v>0</v>
      </c>
      <c r="AG103" s="1221">
        <v>0</v>
      </c>
      <c r="AH103" s="1221">
        <v>0</v>
      </c>
      <c r="AI103" s="1221">
        <v>0</v>
      </c>
      <c r="AJ103" s="1221">
        <v>0</v>
      </c>
      <c r="AK103" s="1221">
        <v>0</v>
      </c>
      <c r="AL103" s="1221">
        <v>0</v>
      </c>
      <c r="AM103" s="1221">
        <v>0</v>
      </c>
      <c r="AN103" s="1221">
        <v>0</v>
      </c>
      <c r="AO103" s="1221">
        <v>0</v>
      </c>
      <c r="AP103" s="1221">
        <v>0</v>
      </c>
      <c r="AQ103" s="1221">
        <v>0</v>
      </c>
      <c r="AR103" s="1221">
        <v>0</v>
      </c>
      <c r="AS103" s="1221">
        <v>0</v>
      </c>
      <c r="AT103" s="1221">
        <v>0</v>
      </c>
      <c r="AU103" s="1221">
        <v>0</v>
      </c>
      <c r="AV103" s="1221">
        <v>0</v>
      </c>
      <c r="AW103" s="1221">
        <v>0</v>
      </c>
      <c r="AX103" s="1221">
        <v>0</v>
      </c>
      <c r="AY103" s="1221">
        <v>0</v>
      </c>
      <c r="AZ103" s="1221">
        <v>0</v>
      </c>
      <c r="BA103" s="1221">
        <v>0</v>
      </c>
      <c r="BB103" s="1221">
        <v>0</v>
      </c>
      <c r="BC103" s="1221">
        <v>0</v>
      </c>
      <c r="BD103" s="1221">
        <v>0</v>
      </c>
      <c r="BE103" s="1221">
        <v>0</v>
      </c>
      <c r="BF103" s="1221">
        <v>0</v>
      </c>
      <c r="BG103" s="1221">
        <v>0</v>
      </c>
      <c r="BH103" s="1221">
        <v>0</v>
      </c>
      <c r="BI103" s="1221">
        <v>0</v>
      </c>
      <c r="BJ103" s="1221">
        <v>0</v>
      </c>
      <c r="BK103" s="1221">
        <v>0</v>
      </c>
      <c r="BL103" s="1221">
        <v>0</v>
      </c>
      <c r="BM103" s="1221">
        <v>0</v>
      </c>
      <c r="BN103" s="1221">
        <v>0</v>
      </c>
      <c r="BO103" s="1221">
        <v>0</v>
      </c>
      <c r="BP103" s="1184"/>
      <c r="BQ103" s="1184"/>
      <c r="BR103" s="1184"/>
      <c r="BS103" s="1184"/>
      <c r="BT103" s="1184"/>
      <c r="BU103" s="1184"/>
      <c r="BV103" s="1184"/>
      <c r="BW103" s="1184"/>
      <c r="BX103" s="1184"/>
      <c r="BY103" s="1184"/>
      <c r="BZ103" s="208"/>
      <c r="CA103" s="208"/>
      <c r="CB103" s="208"/>
      <c r="CC103" s="208"/>
      <c r="CD103" s="211"/>
    </row>
    <row r="104" ht="18" customHeight="1">
      <c r="A104" s="1272"/>
      <c r="B104" s="1217"/>
      <c r="C104" s="1217"/>
      <c r="D104" s="1217"/>
      <c r="E104" s="1217"/>
      <c r="F104" s="1217"/>
      <c r="G104" s="1217"/>
      <c r="H104" s="1217"/>
      <c r="I104" s="1217"/>
      <c r="J104" s="1217"/>
      <c r="K104" s="1217"/>
      <c r="L104" s="1217"/>
      <c r="M104" s="1217"/>
      <c r="N104" s="1217"/>
      <c r="O104" s="1221">
        <v>16</v>
      </c>
      <c r="P104" s="1233">
        <f t="shared" si="389" ref="P104:AE119">$F$41</f>
        <v>0</v>
      </c>
      <c r="Q104" s="1233">
        <f t="shared" si="375"/>
        <v>0</v>
      </c>
      <c r="R104" s="1233">
        <f t="shared" si="362"/>
        <v>0</v>
      </c>
      <c r="S104" s="1233">
        <f t="shared" si="350"/>
        <v>91149</v>
      </c>
      <c r="T104" s="1233">
        <f t="shared" si="339"/>
        <v>70894</v>
      </c>
      <c r="U104" s="1233">
        <f t="shared" si="329"/>
        <v>81022</v>
      </c>
      <c r="V104" s="1233">
        <f t="shared" si="320"/>
        <v>91149</v>
      </c>
      <c r="W104" s="1233">
        <f t="shared" si="312"/>
        <v>101277</v>
      </c>
      <c r="X104" s="1233">
        <f t="shared" si="305"/>
        <v>101277</v>
      </c>
      <c r="Y104" s="1233">
        <f t="shared" si="299"/>
        <v>101277</v>
      </c>
      <c r="Z104" s="1233">
        <f t="shared" si="294"/>
        <v>101277</v>
      </c>
      <c r="AA104" s="1233">
        <f t="shared" si="290"/>
        <v>91149</v>
      </c>
      <c r="AB104" s="1233">
        <f t="shared" si="287"/>
        <v>81022</v>
      </c>
      <c r="AC104" s="1233">
        <f t="shared" si="285"/>
        <v>60766</v>
      </c>
      <c r="AD104" s="1233">
        <f t="shared" si="284"/>
        <v>40511</v>
      </c>
      <c r="AE104" s="1221">
        <v>0</v>
      </c>
      <c r="AF104" s="1221">
        <v>0</v>
      </c>
      <c r="AG104" s="1221">
        <v>0</v>
      </c>
      <c r="AH104" s="1221">
        <v>0</v>
      </c>
      <c r="AI104" s="1221">
        <v>0</v>
      </c>
      <c r="AJ104" s="1221">
        <v>0</v>
      </c>
      <c r="AK104" s="1221">
        <v>0</v>
      </c>
      <c r="AL104" s="1221">
        <v>0</v>
      </c>
      <c r="AM104" s="1221">
        <v>0</v>
      </c>
      <c r="AN104" s="1221">
        <v>0</v>
      </c>
      <c r="AO104" s="1221">
        <v>0</v>
      </c>
      <c r="AP104" s="1221">
        <v>0</v>
      </c>
      <c r="AQ104" s="1221">
        <v>0</v>
      </c>
      <c r="AR104" s="1221">
        <v>0</v>
      </c>
      <c r="AS104" s="1221">
        <v>0</v>
      </c>
      <c r="AT104" s="1221">
        <v>0</v>
      </c>
      <c r="AU104" s="1221">
        <v>0</v>
      </c>
      <c r="AV104" s="1221">
        <v>0</v>
      </c>
      <c r="AW104" s="1221">
        <v>0</v>
      </c>
      <c r="AX104" s="1221">
        <v>0</v>
      </c>
      <c r="AY104" s="1221">
        <v>0</v>
      </c>
      <c r="AZ104" s="1221">
        <v>0</v>
      </c>
      <c r="BA104" s="1221">
        <v>0</v>
      </c>
      <c r="BB104" s="1221">
        <v>0</v>
      </c>
      <c r="BC104" s="1221">
        <v>0</v>
      </c>
      <c r="BD104" s="1221">
        <v>0</v>
      </c>
      <c r="BE104" s="1221">
        <v>0</v>
      </c>
      <c r="BF104" s="1221">
        <v>0</v>
      </c>
      <c r="BG104" s="1221">
        <v>0</v>
      </c>
      <c r="BH104" s="1221">
        <v>0</v>
      </c>
      <c r="BI104" s="1221">
        <v>0</v>
      </c>
      <c r="BJ104" s="1221">
        <v>0</v>
      </c>
      <c r="BK104" s="1221">
        <v>0</v>
      </c>
      <c r="BL104" s="1221">
        <v>0</v>
      </c>
      <c r="BM104" s="1221">
        <v>0</v>
      </c>
      <c r="BN104" s="1221">
        <v>0</v>
      </c>
      <c r="BO104" s="1221">
        <v>0</v>
      </c>
      <c r="BP104" s="1184"/>
      <c r="BQ104" s="1184"/>
      <c r="BR104" s="1184"/>
      <c r="BS104" s="1184"/>
      <c r="BT104" s="1184"/>
      <c r="BU104" s="1184"/>
      <c r="BV104" s="1184"/>
      <c r="BW104" s="1184"/>
      <c r="BX104" s="1184"/>
      <c r="BY104" s="1184"/>
      <c r="BZ104" s="208"/>
      <c r="CA104" s="208"/>
      <c r="CB104" s="208"/>
      <c r="CC104" s="208"/>
      <c r="CD104" s="211"/>
    </row>
    <row r="105" ht="18" customHeight="1">
      <c r="A105" s="1272"/>
      <c r="B105" s="1217"/>
      <c r="C105" s="1217"/>
      <c r="D105" s="1217"/>
      <c r="E105" s="1217"/>
      <c r="F105" s="1217"/>
      <c r="G105" s="1217"/>
      <c r="H105" s="1217"/>
      <c r="I105" s="1217"/>
      <c r="J105" s="1217"/>
      <c r="K105" s="1217"/>
      <c r="L105" s="1217"/>
      <c r="M105" s="1217"/>
      <c r="N105" s="1217"/>
      <c r="O105" s="1221">
        <v>17</v>
      </c>
      <c r="P105" s="1233">
        <f t="shared" si="404" ref="P105:AE120">$F$42</f>
        <v>0</v>
      </c>
      <c r="Q105" s="1233">
        <f t="shared" si="389"/>
        <v>0</v>
      </c>
      <c r="R105" s="1233">
        <f t="shared" si="375"/>
        <v>0</v>
      </c>
      <c r="S105" s="1233">
        <f t="shared" si="362"/>
        <v>0</v>
      </c>
      <c r="T105" s="1233">
        <f t="shared" si="350"/>
        <v>91149</v>
      </c>
      <c r="U105" s="1233">
        <f t="shared" si="339"/>
        <v>70894</v>
      </c>
      <c r="V105" s="1233">
        <f t="shared" si="329"/>
        <v>81022</v>
      </c>
      <c r="W105" s="1233">
        <f t="shared" si="320"/>
        <v>91149</v>
      </c>
      <c r="X105" s="1233">
        <f t="shared" si="312"/>
        <v>101277</v>
      </c>
      <c r="Y105" s="1233">
        <f t="shared" si="305"/>
        <v>101277</v>
      </c>
      <c r="Z105" s="1233">
        <f t="shared" si="299"/>
        <v>101277</v>
      </c>
      <c r="AA105" s="1233">
        <f t="shared" si="294"/>
        <v>101277</v>
      </c>
      <c r="AB105" s="1233">
        <f t="shared" si="290"/>
        <v>91149</v>
      </c>
      <c r="AC105" s="1233">
        <f t="shared" si="287"/>
        <v>81022</v>
      </c>
      <c r="AD105" s="1233">
        <f t="shared" si="285"/>
        <v>60766</v>
      </c>
      <c r="AE105" s="1233">
        <f t="shared" si="284"/>
        <v>40511</v>
      </c>
      <c r="AF105" s="1221">
        <v>0</v>
      </c>
      <c r="AG105" s="1221">
        <v>0</v>
      </c>
      <c r="AH105" s="1221">
        <v>0</v>
      </c>
      <c r="AI105" s="1221">
        <v>0</v>
      </c>
      <c r="AJ105" s="1221">
        <v>0</v>
      </c>
      <c r="AK105" s="1221">
        <v>0</v>
      </c>
      <c r="AL105" s="1221">
        <v>0</v>
      </c>
      <c r="AM105" s="1221">
        <v>0</v>
      </c>
      <c r="AN105" s="1221">
        <v>0</v>
      </c>
      <c r="AO105" s="1221">
        <v>0</v>
      </c>
      <c r="AP105" s="1221">
        <v>0</v>
      </c>
      <c r="AQ105" s="1221">
        <v>0</v>
      </c>
      <c r="AR105" s="1221">
        <v>0</v>
      </c>
      <c r="AS105" s="1221">
        <v>0</v>
      </c>
      <c r="AT105" s="1221">
        <v>0</v>
      </c>
      <c r="AU105" s="1221">
        <v>0</v>
      </c>
      <c r="AV105" s="1221">
        <v>0</v>
      </c>
      <c r="AW105" s="1221">
        <v>0</v>
      </c>
      <c r="AX105" s="1221">
        <v>0</v>
      </c>
      <c r="AY105" s="1221">
        <v>0</v>
      </c>
      <c r="AZ105" s="1221">
        <v>0</v>
      </c>
      <c r="BA105" s="1221">
        <v>0</v>
      </c>
      <c r="BB105" s="1221">
        <v>0</v>
      </c>
      <c r="BC105" s="1221">
        <v>0</v>
      </c>
      <c r="BD105" s="1221">
        <v>0</v>
      </c>
      <c r="BE105" s="1221">
        <v>0</v>
      </c>
      <c r="BF105" s="1221">
        <v>0</v>
      </c>
      <c r="BG105" s="1221">
        <v>0</v>
      </c>
      <c r="BH105" s="1221">
        <v>0</v>
      </c>
      <c r="BI105" s="1221">
        <v>0</v>
      </c>
      <c r="BJ105" s="1221">
        <v>0</v>
      </c>
      <c r="BK105" s="1221">
        <v>0</v>
      </c>
      <c r="BL105" s="1221">
        <v>0</v>
      </c>
      <c r="BM105" s="1221">
        <v>0</v>
      </c>
      <c r="BN105" s="1221">
        <v>0</v>
      </c>
      <c r="BO105" s="1221">
        <v>0</v>
      </c>
      <c r="BP105" s="1184"/>
      <c r="BQ105" s="1184"/>
      <c r="BR105" s="1184"/>
      <c r="BS105" s="1184"/>
      <c r="BT105" s="1184"/>
      <c r="BU105" s="1184"/>
      <c r="BV105" s="1184"/>
      <c r="BW105" s="1184"/>
      <c r="BX105" s="1184"/>
      <c r="BY105" s="1184"/>
      <c r="BZ105" s="208"/>
      <c r="CA105" s="208"/>
      <c r="CB105" s="208"/>
      <c r="CC105" s="208"/>
      <c r="CD105" s="211"/>
    </row>
    <row r="106" ht="18" customHeight="1">
      <c r="A106" s="1272"/>
      <c r="B106" s="1217"/>
      <c r="C106" s="1217"/>
      <c r="D106" s="1217"/>
      <c r="E106" s="1217"/>
      <c r="F106" s="1217"/>
      <c r="G106" s="1217"/>
      <c r="H106" s="1217"/>
      <c r="I106" s="1217"/>
      <c r="J106" s="1217"/>
      <c r="K106" s="1217"/>
      <c r="L106" s="1217"/>
      <c r="M106" s="1217"/>
      <c r="N106" s="1217"/>
      <c r="O106" s="1221">
        <v>18</v>
      </c>
      <c r="P106" s="1233">
        <f t="shared" si="420" ref="P106:AE121">$F$43</f>
        <v>0</v>
      </c>
      <c r="Q106" s="1233">
        <f t="shared" si="404"/>
        <v>0</v>
      </c>
      <c r="R106" s="1233">
        <f t="shared" si="389"/>
        <v>0</v>
      </c>
      <c r="S106" s="1233">
        <f t="shared" si="375"/>
        <v>0</v>
      </c>
      <c r="T106" s="1233">
        <f t="shared" si="362"/>
        <v>0</v>
      </c>
      <c r="U106" s="1233">
        <f t="shared" si="350"/>
        <v>91149</v>
      </c>
      <c r="V106" s="1233">
        <f t="shared" si="339"/>
        <v>70894</v>
      </c>
      <c r="W106" s="1233">
        <f t="shared" si="329"/>
        <v>81022</v>
      </c>
      <c r="X106" s="1233">
        <f t="shared" si="320"/>
        <v>91149</v>
      </c>
      <c r="Y106" s="1233">
        <f t="shared" si="312"/>
        <v>101277</v>
      </c>
      <c r="Z106" s="1233">
        <f t="shared" si="305"/>
        <v>101277</v>
      </c>
      <c r="AA106" s="1233">
        <f t="shared" si="299"/>
        <v>101277</v>
      </c>
      <c r="AB106" s="1233">
        <f t="shared" si="294"/>
        <v>101277</v>
      </c>
      <c r="AC106" s="1233">
        <f t="shared" si="290"/>
        <v>91149</v>
      </c>
      <c r="AD106" s="1233">
        <f t="shared" si="287"/>
        <v>81022</v>
      </c>
      <c r="AE106" s="1233">
        <f t="shared" si="285"/>
        <v>60766</v>
      </c>
      <c r="AF106" s="1233">
        <f t="shared" si="436" ref="AF106:AU121">$F$27</f>
        <v>40511</v>
      </c>
      <c r="AG106" s="1221">
        <v>0</v>
      </c>
      <c r="AH106" s="1221">
        <v>0</v>
      </c>
      <c r="AI106" s="1221">
        <v>0</v>
      </c>
      <c r="AJ106" s="1221">
        <v>0</v>
      </c>
      <c r="AK106" s="1221">
        <v>0</v>
      </c>
      <c r="AL106" s="1221">
        <v>0</v>
      </c>
      <c r="AM106" s="1221">
        <v>0</v>
      </c>
      <c r="AN106" s="1221">
        <v>0</v>
      </c>
      <c r="AO106" s="1221">
        <v>0</v>
      </c>
      <c r="AP106" s="1221">
        <v>0</v>
      </c>
      <c r="AQ106" s="1221">
        <v>0</v>
      </c>
      <c r="AR106" s="1221">
        <v>0</v>
      </c>
      <c r="AS106" s="1221">
        <v>0</v>
      </c>
      <c r="AT106" s="1221">
        <v>0</v>
      </c>
      <c r="AU106" s="1221">
        <v>0</v>
      </c>
      <c r="AV106" s="1221">
        <v>0</v>
      </c>
      <c r="AW106" s="1221">
        <v>0</v>
      </c>
      <c r="AX106" s="1221">
        <v>0</v>
      </c>
      <c r="AY106" s="1221">
        <v>0</v>
      </c>
      <c r="AZ106" s="1221">
        <v>0</v>
      </c>
      <c r="BA106" s="1221">
        <v>0</v>
      </c>
      <c r="BB106" s="1221">
        <v>0</v>
      </c>
      <c r="BC106" s="1221">
        <v>0</v>
      </c>
      <c r="BD106" s="1221">
        <v>0</v>
      </c>
      <c r="BE106" s="1221">
        <v>0</v>
      </c>
      <c r="BF106" s="1221">
        <v>0</v>
      </c>
      <c r="BG106" s="1221">
        <v>0</v>
      </c>
      <c r="BH106" s="1221">
        <v>0</v>
      </c>
      <c r="BI106" s="1221">
        <v>0</v>
      </c>
      <c r="BJ106" s="1221">
        <v>0</v>
      </c>
      <c r="BK106" s="1221">
        <v>0</v>
      </c>
      <c r="BL106" s="1221">
        <v>0</v>
      </c>
      <c r="BM106" s="1221">
        <v>0</v>
      </c>
      <c r="BN106" s="1221">
        <v>0</v>
      </c>
      <c r="BO106" s="1221">
        <v>0</v>
      </c>
      <c r="BP106" s="1184"/>
      <c r="BQ106" s="1184"/>
      <c r="BR106" s="1184"/>
      <c r="BS106" s="1184"/>
      <c r="BT106" s="1184"/>
      <c r="BU106" s="1184"/>
      <c r="BV106" s="1184"/>
      <c r="BW106" s="1184"/>
      <c r="BX106" s="1184"/>
      <c r="BY106" s="1184"/>
      <c r="BZ106" s="208"/>
      <c r="CA106" s="208"/>
      <c r="CB106" s="208"/>
      <c r="CC106" s="208"/>
      <c r="CD106" s="211"/>
    </row>
    <row r="107" ht="18" customHeight="1">
      <c r="A107" s="1272"/>
      <c r="B107" s="1217"/>
      <c r="C107" s="1217"/>
      <c r="D107" s="1217"/>
      <c r="E107" s="1217"/>
      <c r="F107" s="1217"/>
      <c r="G107" s="1217"/>
      <c r="H107" s="1217"/>
      <c r="I107" s="1217"/>
      <c r="J107" s="1217"/>
      <c r="K107" s="1217"/>
      <c r="L107" s="1217"/>
      <c r="M107" s="1217"/>
      <c r="N107" s="1217"/>
      <c r="O107" s="1221">
        <v>19</v>
      </c>
      <c r="P107" s="1233">
        <f t="shared" si="437" ref="P107:AE122">$F$44</f>
        <v>0</v>
      </c>
      <c r="Q107" s="1233">
        <f t="shared" si="420"/>
        <v>0</v>
      </c>
      <c r="R107" s="1233">
        <f t="shared" si="404"/>
        <v>0</v>
      </c>
      <c r="S107" s="1233">
        <f t="shared" si="389"/>
        <v>0</v>
      </c>
      <c r="T107" s="1233">
        <f t="shared" si="375"/>
        <v>0</v>
      </c>
      <c r="U107" s="1233">
        <f t="shared" si="362"/>
        <v>0</v>
      </c>
      <c r="V107" s="1233">
        <f t="shared" si="350"/>
        <v>91149</v>
      </c>
      <c r="W107" s="1233">
        <f t="shared" si="339"/>
        <v>70894</v>
      </c>
      <c r="X107" s="1233">
        <f t="shared" si="329"/>
        <v>81022</v>
      </c>
      <c r="Y107" s="1233">
        <f t="shared" si="320"/>
        <v>91149</v>
      </c>
      <c r="Z107" s="1233">
        <f t="shared" si="312"/>
        <v>101277</v>
      </c>
      <c r="AA107" s="1233">
        <f t="shared" si="305"/>
        <v>101277</v>
      </c>
      <c r="AB107" s="1233">
        <f t="shared" si="299"/>
        <v>101277</v>
      </c>
      <c r="AC107" s="1233">
        <f t="shared" si="294"/>
        <v>101277</v>
      </c>
      <c r="AD107" s="1233">
        <f t="shared" si="290"/>
        <v>91149</v>
      </c>
      <c r="AE107" s="1233">
        <f t="shared" si="287"/>
        <v>81022</v>
      </c>
      <c r="AF107" s="1233">
        <f t="shared" si="453" ref="AF107:AU122">$F$28</f>
        <v>60766</v>
      </c>
      <c r="AG107" s="1233">
        <f t="shared" si="436"/>
        <v>40511</v>
      </c>
      <c r="AH107" s="1221">
        <v>0</v>
      </c>
      <c r="AI107" s="1221">
        <v>0</v>
      </c>
      <c r="AJ107" s="1221">
        <v>0</v>
      </c>
      <c r="AK107" s="1221">
        <v>0</v>
      </c>
      <c r="AL107" s="1221">
        <v>0</v>
      </c>
      <c r="AM107" s="1221">
        <v>0</v>
      </c>
      <c r="AN107" s="1221">
        <v>0</v>
      </c>
      <c r="AO107" s="1221">
        <v>0</v>
      </c>
      <c r="AP107" s="1221">
        <v>0</v>
      </c>
      <c r="AQ107" s="1221">
        <v>0</v>
      </c>
      <c r="AR107" s="1221">
        <v>0</v>
      </c>
      <c r="AS107" s="1221">
        <v>0</v>
      </c>
      <c r="AT107" s="1221">
        <v>0</v>
      </c>
      <c r="AU107" s="1221">
        <v>0</v>
      </c>
      <c r="AV107" s="1221">
        <v>0</v>
      </c>
      <c r="AW107" s="1221">
        <v>0</v>
      </c>
      <c r="AX107" s="1221">
        <v>0</v>
      </c>
      <c r="AY107" s="1221">
        <v>0</v>
      </c>
      <c r="AZ107" s="1221">
        <v>0</v>
      </c>
      <c r="BA107" s="1221">
        <v>0</v>
      </c>
      <c r="BB107" s="1221">
        <v>0</v>
      </c>
      <c r="BC107" s="1221">
        <v>0</v>
      </c>
      <c r="BD107" s="1221">
        <v>0</v>
      </c>
      <c r="BE107" s="1221">
        <v>0</v>
      </c>
      <c r="BF107" s="1221">
        <v>0</v>
      </c>
      <c r="BG107" s="1221">
        <v>0</v>
      </c>
      <c r="BH107" s="1221">
        <v>0</v>
      </c>
      <c r="BI107" s="1221">
        <v>0</v>
      </c>
      <c r="BJ107" s="1221">
        <v>0</v>
      </c>
      <c r="BK107" s="1221">
        <v>0</v>
      </c>
      <c r="BL107" s="1221">
        <v>0</v>
      </c>
      <c r="BM107" s="1221">
        <v>0</v>
      </c>
      <c r="BN107" s="1221">
        <v>0</v>
      </c>
      <c r="BO107" s="1221">
        <v>0</v>
      </c>
      <c r="BP107" s="1184"/>
      <c r="BQ107" s="1184"/>
      <c r="BR107" s="1184"/>
      <c r="BS107" s="1184"/>
      <c r="BT107" s="1184"/>
      <c r="BU107" s="1184"/>
      <c r="BV107" s="1184"/>
      <c r="BW107" s="1184"/>
      <c r="BX107" s="1184"/>
      <c r="BY107" s="1184"/>
      <c r="BZ107" s="208"/>
      <c r="CA107" s="208"/>
      <c r="CB107" s="208"/>
      <c r="CC107" s="208"/>
      <c r="CD107" s="211"/>
    </row>
    <row r="108" ht="18" customHeight="1">
      <c r="A108" s="1272"/>
      <c r="B108" s="1217"/>
      <c r="C108" s="1217"/>
      <c r="D108" s="1217"/>
      <c r="E108" s="1217"/>
      <c r="F108" s="1217"/>
      <c r="G108" s="1217"/>
      <c r="H108" s="1217"/>
      <c r="I108" s="1217"/>
      <c r="J108" s="1217"/>
      <c r="K108" s="1217"/>
      <c r="L108" s="1217"/>
      <c r="M108" s="1217"/>
      <c r="N108" s="1217"/>
      <c r="O108" s="1221">
        <v>20</v>
      </c>
      <c r="P108" s="1233">
        <f t="shared" si="455" ref="P108:AE123">$F$45</f>
        <v>0</v>
      </c>
      <c r="Q108" s="1233">
        <f t="shared" si="437"/>
        <v>0</v>
      </c>
      <c r="R108" s="1233">
        <f t="shared" si="420"/>
        <v>0</v>
      </c>
      <c r="S108" s="1233">
        <f t="shared" si="404"/>
        <v>0</v>
      </c>
      <c r="T108" s="1233">
        <f t="shared" si="389"/>
        <v>0</v>
      </c>
      <c r="U108" s="1233">
        <f t="shared" si="375"/>
        <v>0</v>
      </c>
      <c r="V108" s="1233">
        <f t="shared" si="362"/>
        <v>0</v>
      </c>
      <c r="W108" s="1233">
        <f t="shared" si="350"/>
        <v>91149</v>
      </c>
      <c r="X108" s="1233">
        <f t="shared" si="339"/>
        <v>70894</v>
      </c>
      <c r="Y108" s="1233">
        <f t="shared" si="329"/>
        <v>81022</v>
      </c>
      <c r="Z108" s="1233">
        <f t="shared" si="320"/>
        <v>91149</v>
      </c>
      <c r="AA108" s="1233">
        <f t="shared" si="312"/>
        <v>101277</v>
      </c>
      <c r="AB108" s="1233">
        <f t="shared" si="305"/>
        <v>101277</v>
      </c>
      <c r="AC108" s="1233">
        <f t="shared" si="299"/>
        <v>101277</v>
      </c>
      <c r="AD108" s="1233">
        <f t="shared" si="294"/>
        <v>101277</v>
      </c>
      <c r="AE108" s="1233">
        <f t="shared" si="290"/>
        <v>91149</v>
      </c>
      <c r="AF108" s="1233">
        <f t="shared" si="471" ref="AF108:AU123">$F$29</f>
        <v>81022</v>
      </c>
      <c r="AG108" s="1233">
        <f t="shared" si="453"/>
        <v>60766</v>
      </c>
      <c r="AH108" s="1233">
        <f t="shared" si="436"/>
        <v>40511</v>
      </c>
      <c r="AI108" s="1221">
        <v>0</v>
      </c>
      <c r="AJ108" s="1221">
        <v>0</v>
      </c>
      <c r="AK108" s="1221">
        <v>0</v>
      </c>
      <c r="AL108" s="1221">
        <v>0</v>
      </c>
      <c r="AM108" s="1221">
        <v>0</v>
      </c>
      <c r="AN108" s="1221">
        <v>0</v>
      </c>
      <c r="AO108" s="1221">
        <v>0</v>
      </c>
      <c r="AP108" s="1221">
        <v>0</v>
      </c>
      <c r="AQ108" s="1221">
        <v>0</v>
      </c>
      <c r="AR108" s="1221">
        <v>0</v>
      </c>
      <c r="AS108" s="1221">
        <v>0</v>
      </c>
      <c r="AT108" s="1221">
        <v>0</v>
      </c>
      <c r="AU108" s="1221">
        <v>0</v>
      </c>
      <c r="AV108" s="1221">
        <v>0</v>
      </c>
      <c r="AW108" s="1221">
        <v>0</v>
      </c>
      <c r="AX108" s="1221">
        <v>0</v>
      </c>
      <c r="AY108" s="1221">
        <v>0</v>
      </c>
      <c r="AZ108" s="1221">
        <v>0</v>
      </c>
      <c r="BA108" s="1221">
        <v>0</v>
      </c>
      <c r="BB108" s="1221">
        <v>0</v>
      </c>
      <c r="BC108" s="1221">
        <v>0</v>
      </c>
      <c r="BD108" s="1221">
        <v>0</v>
      </c>
      <c r="BE108" s="1221">
        <v>0</v>
      </c>
      <c r="BF108" s="1221">
        <v>0</v>
      </c>
      <c r="BG108" s="1221">
        <v>0</v>
      </c>
      <c r="BH108" s="1221">
        <v>0</v>
      </c>
      <c r="BI108" s="1221">
        <v>0</v>
      </c>
      <c r="BJ108" s="1221">
        <v>0</v>
      </c>
      <c r="BK108" s="1221">
        <v>0</v>
      </c>
      <c r="BL108" s="1221">
        <v>0</v>
      </c>
      <c r="BM108" s="1221">
        <v>0</v>
      </c>
      <c r="BN108" s="1221">
        <v>0</v>
      </c>
      <c r="BO108" s="1221">
        <v>0</v>
      </c>
      <c r="BP108" s="1184"/>
      <c r="BQ108" s="1184"/>
      <c r="BR108" s="1184"/>
      <c r="BS108" s="1184"/>
      <c r="BT108" s="1184"/>
      <c r="BU108" s="1184"/>
      <c r="BV108" s="1184"/>
      <c r="BW108" s="1184"/>
      <c r="BX108" s="1184"/>
      <c r="BY108" s="1184"/>
      <c r="BZ108" s="208"/>
      <c r="CA108" s="208"/>
      <c r="CB108" s="208"/>
      <c r="CC108" s="208"/>
      <c r="CD108" s="211"/>
    </row>
    <row r="109" ht="18" customHeight="1">
      <c r="A109" s="1272"/>
      <c r="B109" s="1217"/>
      <c r="C109" s="1217"/>
      <c r="D109" s="1217"/>
      <c r="E109" s="1217"/>
      <c r="F109" s="1217"/>
      <c r="G109" s="1217"/>
      <c r="H109" s="1217"/>
      <c r="I109" s="1217"/>
      <c r="J109" s="1217"/>
      <c r="K109" s="1217"/>
      <c r="L109" s="1217"/>
      <c r="M109" s="1217"/>
      <c r="N109" s="1217"/>
      <c r="O109" s="1221">
        <v>21</v>
      </c>
      <c r="P109" s="1233">
        <f t="shared" si="474" ref="P109:AE124">$F$46</f>
        <v>0</v>
      </c>
      <c r="Q109" s="1233">
        <f t="shared" si="455"/>
        <v>0</v>
      </c>
      <c r="R109" s="1233">
        <f t="shared" si="437"/>
        <v>0</v>
      </c>
      <c r="S109" s="1233">
        <f t="shared" si="420"/>
        <v>0</v>
      </c>
      <c r="T109" s="1233">
        <f t="shared" si="404"/>
        <v>0</v>
      </c>
      <c r="U109" s="1233">
        <f t="shared" si="389"/>
        <v>0</v>
      </c>
      <c r="V109" s="1233">
        <f t="shared" si="375"/>
        <v>0</v>
      </c>
      <c r="W109" s="1233">
        <f t="shared" si="362"/>
        <v>0</v>
      </c>
      <c r="X109" s="1233">
        <f t="shared" si="350"/>
        <v>91149</v>
      </c>
      <c r="Y109" s="1233">
        <f t="shared" si="339"/>
        <v>70894</v>
      </c>
      <c r="Z109" s="1233">
        <f t="shared" si="329"/>
        <v>81022</v>
      </c>
      <c r="AA109" s="1233">
        <f t="shared" si="320"/>
        <v>91149</v>
      </c>
      <c r="AB109" s="1233">
        <f t="shared" si="312"/>
        <v>101277</v>
      </c>
      <c r="AC109" s="1233">
        <f t="shared" si="305"/>
        <v>101277</v>
      </c>
      <c r="AD109" s="1233">
        <f t="shared" si="299"/>
        <v>101277</v>
      </c>
      <c r="AE109" s="1233">
        <f t="shared" si="294"/>
        <v>101277</v>
      </c>
      <c r="AF109" s="1233">
        <f t="shared" si="490" ref="AF109:AU124">$F$30</f>
        <v>91149</v>
      </c>
      <c r="AG109" s="1233">
        <f t="shared" si="471"/>
        <v>81022</v>
      </c>
      <c r="AH109" s="1233">
        <f t="shared" si="453"/>
        <v>60766</v>
      </c>
      <c r="AI109" s="1233">
        <f t="shared" si="436"/>
        <v>40511</v>
      </c>
      <c r="AJ109" s="1221">
        <v>0</v>
      </c>
      <c r="AK109" s="1221">
        <v>0</v>
      </c>
      <c r="AL109" s="1221">
        <v>0</v>
      </c>
      <c r="AM109" s="1221">
        <v>0</v>
      </c>
      <c r="AN109" s="1221">
        <v>0</v>
      </c>
      <c r="AO109" s="1221">
        <v>0</v>
      </c>
      <c r="AP109" s="1221">
        <v>0</v>
      </c>
      <c r="AQ109" s="1221">
        <v>0</v>
      </c>
      <c r="AR109" s="1221">
        <v>0</v>
      </c>
      <c r="AS109" s="1221">
        <v>0</v>
      </c>
      <c r="AT109" s="1221">
        <v>0</v>
      </c>
      <c r="AU109" s="1221">
        <v>0</v>
      </c>
      <c r="AV109" s="1221">
        <v>0</v>
      </c>
      <c r="AW109" s="1221">
        <v>0</v>
      </c>
      <c r="AX109" s="1221">
        <v>0</v>
      </c>
      <c r="AY109" s="1221">
        <v>0</v>
      </c>
      <c r="AZ109" s="1221">
        <v>0</v>
      </c>
      <c r="BA109" s="1221">
        <v>0</v>
      </c>
      <c r="BB109" s="1221">
        <v>0</v>
      </c>
      <c r="BC109" s="1221">
        <v>0</v>
      </c>
      <c r="BD109" s="1221">
        <v>0</v>
      </c>
      <c r="BE109" s="1221">
        <v>0</v>
      </c>
      <c r="BF109" s="1221">
        <v>0</v>
      </c>
      <c r="BG109" s="1221">
        <v>0</v>
      </c>
      <c r="BH109" s="1221">
        <v>0</v>
      </c>
      <c r="BI109" s="1221">
        <v>0</v>
      </c>
      <c r="BJ109" s="1221">
        <v>0</v>
      </c>
      <c r="BK109" s="1221">
        <v>0</v>
      </c>
      <c r="BL109" s="1221">
        <v>0</v>
      </c>
      <c r="BM109" s="1221">
        <v>0</v>
      </c>
      <c r="BN109" s="1221">
        <v>0</v>
      </c>
      <c r="BO109" s="1221">
        <v>0</v>
      </c>
      <c r="BP109" s="1184"/>
      <c r="BQ109" s="1184"/>
      <c r="BR109" s="1184"/>
      <c r="BS109" s="1184"/>
      <c r="BT109" s="1184"/>
      <c r="BU109" s="1184"/>
      <c r="BV109" s="1184"/>
      <c r="BW109" s="1184"/>
      <c r="BX109" s="1184"/>
      <c r="BY109" s="1184"/>
      <c r="BZ109" s="208"/>
      <c r="CA109" s="208"/>
      <c r="CB109" s="208"/>
      <c r="CC109" s="208"/>
      <c r="CD109" s="211"/>
    </row>
    <row r="110" ht="18" customHeight="1">
      <c r="A110" s="1272"/>
      <c r="B110" s="1217"/>
      <c r="C110" s="1217"/>
      <c r="D110" s="1217"/>
      <c r="E110" s="1217"/>
      <c r="F110" s="1217"/>
      <c r="G110" s="1217"/>
      <c r="H110" s="1217"/>
      <c r="I110" s="1217"/>
      <c r="J110" s="1217"/>
      <c r="K110" s="1217"/>
      <c r="L110" s="1217"/>
      <c r="M110" s="1217"/>
      <c r="N110" s="1217"/>
      <c r="O110" s="1221">
        <v>22</v>
      </c>
      <c r="P110" s="1233">
        <f t="shared" si="494" ref="P110:AE125">$F$47</f>
        <v>0</v>
      </c>
      <c r="Q110" s="1233">
        <f t="shared" si="474"/>
        <v>0</v>
      </c>
      <c r="R110" s="1233">
        <f t="shared" si="455"/>
        <v>0</v>
      </c>
      <c r="S110" s="1233">
        <f t="shared" si="437"/>
        <v>0</v>
      </c>
      <c r="T110" s="1233">
        <f t="shared" si="420"/>
        <v>0</v>
      </c>
      <c r="U110" s="1233">
        <f t="shared" si="404"/>
        <v>0</v>
      </c>
      <c r="V110" s="1233">
        <f t="shared" si="389"/>
        <v>0</v>
      </c>
      <c r="W110" s="1233">
        <f t="shared" si="375"/>
        <v>0</v>
      </c>
      <c r="X110" s="1233">
        <f t="shared" si="362"/>
        <v>0</v>
      </c>
      <c r="Y110" s="1233">
        <f t="shared" si="350"/>
        <v>91149</v>
      </c>
      <c r="Z110" s="1233">
        <f t="shared" si="339"/>
        <v>70894</v>
      </c>
      <c r="AA110" s="1233">
        <f t="shared" si="329"/>
        <v>81022</v>
      </c>
      <c r="AB110" s="1233">
        <f t="shared" si="320"/>
        <v>91149</v>
      </c>
      <c r="AC110" s="1233">
        <f t="shared" si="312"/>
        <v>101277</v>
      </c>
      <c r="AD110" s="1233">
        <f t="shared" si="305"/>
        <v>101277</v>
      </c>
      <c r="AE110" s="1233">
        <f t="shared" si="299"/>
        <v>101277</v>
      </c>
      <c r="AF110" s="1233">
        <f t="shared" si="510" ref="AF110:AU125">$F$31</f>
        <v>101277</v>
      </c>
      <c r="AG110" s="1233">
        <f t="shared" si="490"/>
        <v>91149</v>
      </c>
      <c r="AH110" s="1233">
        <f t="shared" si="471"/>
        <v>81022</v>
      </c>
      <c r="AI110" s="1233">
        <f t="shared" si="453"/>
        <v>60766</v>
      </c>
      <c r="AJ110" s="1233">
        <f t="shared" si="436"/>
        <v>40511</v>
      </c>
      <c r="AK110" s="1221">
        <v>0</v>
      </c>
      <c r="AL110" s="1221">
        <v>0</v>
      </c>
      <c r="AM110" s="1221">
        <v>0</v>
      </c>
      <c r="AN110" s="1221">
        <v>0</v>
      </c>
      <c r="AO110" s="1221">
        <v>0</v>
      </c>
      <c r="AP110" s="1221">
        <v>0</v>
      </c>
      <c r="AQ110" s="1221">
        <v>0</v>
      </c>
      <c r="AR110" s="1221">
        <v>0</v>
      </c>
      <c r="AS110" s="1221">
        <v>0</v>
      </c>
      <c r="AT110" s="1221">
        <v>0</v>
      </c>
      <c r="AU110" s="1221">
        <v>0</v>
      </c>
      <c r="AV110" s="1221">
        <v>0</v>
      </c>
      <c r="AW110" s="1221">
        <v>0</v>
      </c>
      <c r="AX110" s="1221">
        <v>0</v>
      </c>
      <c r="AY110" s="1221">
        <v>0</v>
      </c>
      <c r="AZ110" s="1221">
        <v>0</v>
      </c>
      <c r="BA110" s="1221">
        <v>0</v>
      </c>
      <c r="BB110" s="1221">
        <v>0</v>
      </c>
      <c r="BC110" s="1221">
        <v>0</v>
      </c>
      <c r="BD110" s="1221">
        <v>0</v>
      </c>
      <c r="BE110" s="1221">
        <v>0</v>
      </c>
      <c r="BF110" s="1221">
        <v>0</v>
      </c>
      <c r="BG110" s="1221">
        <v>0</v>
      </c>
      <c r="BH110" s="1221">
        <v>0</v>
      </c>
      <c r="BI110" s="1221">
        <v>0</v>
      </c>
      <c r="BJ110" s="1221">
        <v>0</v>
      </c>
      <c r="BK110" s="1221">
        <v>0</v>
      </c>
      <c r="BL110" s="1221">
        <v>0</v>
      </c>
      <c r="BM110" s="1221">
        <v>0</v>
      </c>
      <c r="BN110" s="1221">
        <v>0</v>
      </c>
      <c r="BO110" s="1221">
        <v>0</v>
      </c>
      <c r="BP110" s="1184"/>
      <c r="BQ110" s="1184"/>
      <c r="BR110" s="1184"/>
      <c r="BS110" s="1184"/>
      <c r="BT110" s="1184"/>
      <c r="BU110" s="1184"/>
      <c r="BV110" s="1184"/>
      <c r="BW110" s="1184"/>
      <c r="BX110" s="1184"/>
      <c r="BY110" s="1184"/>
      <c r="BZ110" s="208"/>
      <c r="CA110" s="208"/>
      <c r="CB110" s="208"/>
      <c r="CC110" s="208"/>
      <c r="CD110" s="211"/>
    </row>
    <row r="111" ht="18" customHeight="1">
      <c r="A111" s="1272"/>
      <c r="B111" s="1217"/>
      <c r="C111" s="1217"/>
      <c r="D111" s="1217"/>
      <c r="E111" s="1217"/>
      <c r="F111" s="1217"/>
      <c r="G111" s="1217"/>
      <c r="H111" s="1217"/>
      <c r="I111" s="1217"/>
      <c r="J111" s="1217"/>
      <c r="K111" s="1217"/>
      <c r="L111" s="1217"/>
      <c r="M111" s="1217"/>
      <c r="N111" s="1217"/>
      <c r="O111" s="1221">
        <v>23</v>
      </c>
      <c r="P111" s="1233">
        <f t="shared" si="515" ref="P111:AE126">$F$48</f>
        <v>0</v>
      </c>
      <c r="Q111" s="1233">
        <f t="shared" si="494"/>
        <v>0</v>
      </c>
      <c r="R111" s="1233">
        <f t="shared" si="474"/>
        <v>0</v>
      </c>
      <c r="S111" s="1233">
        <f t="shared" si="455"/>
        <v>0</v>
      </c>
      <c r="T111" s="1233">
        <f t="shared" si="437"/>
        <v>0</v>
      </c>
      <c r="U111" s="1233">
        <f t="shared" si="420"/>
        <v>0</v>
      </c>
      <c r="V111" s="1233">
        <f t="shared" si="404"/>
        <v>0</v>
      </c>
      <c r="W111" s="1233">
        <f t="shared" si="389"/>
        <v>0</v>
      </c>
      <c r="X111" s="1233">
        <f t="shared" si="375"/>
        <v>0</v>
      </c>
      <c r="Y111" s="1233">
        <f t="shared" si="362"/>
        <v>0</v>
      </c>
      <c r="Z111" s="1233">
        <f t="shared" si="350"/>
        <v>91149</v>
      </c>
      <c r="AA111" s="1233">
        <f t="shared" si="339"/>
        <v>70894</v>
      </c>
      <c r="AB111" s="1233">
        <f t="shared" si="329"/>
        <v>81022</v>
      </c>
      <c r="AC111" s="1233">
        <f t="shared" si="320"/>
        <v>91149</v>
      </c>
      <c r="AD111" s="1233">
        <f t="shared" si="312"/>
        <v>101277</v>
      </c>
      <c r="AE111" s="1233">
        <f t="shared" si="305"/>
        <v>101277</v>
      </c>
      <c r="AF111" s="1233">
        <f t="shared" si="531" ref="AF111:AU126">$F$32</f>
        <v>101277</v>
      </c>
      <c r="AG111" s="1233">
        <f t="shared" si="510"/>
        <v>101277</v>
      </c>
      <c r="AH111" s="1233">
        <f t="shared" si="490"/>
        <v>91149</v>
      </c>
      <c r="AI111" s="1233">
        <f t="shared" si="471"/>
        <v>81022</v>
      </c>
      <c r="AJ111" s="1233">
        <f t="shared" si="453"/>
        <v>60766</v>
      </c>
      <c r="AK111" s="1233">
        <f t="shared" si="436"/>
        <v>40511</v>
      </c>
      <c r="AL111" s="1221">
        <v>0</v>
      </c>
      <c r="AM111" s="1221">
        <v>0</v>
      </c>
      <c r="AN111" s="1221">
        <v>0</v>
      </c>
      <c r="AO111" s="1221">
        <v>0</v>
      </c>
      <c r="AP111" s="1221">
        <v>0</v>
      </c>
      <c r="AQ111" s="1221">
        <v>0</v>
      </c>
      <c r="AR111" s="1221">
        <v>0</v>
      </c>
      <c r="AS111" s="1221">
        <v>0</v>
      </c>
      <c r="AT111" s="1221">
        <v>0</v>
      </c>
      <c r="AU111" s="1221">
        <v>0</v>
      </c>
      <c r="AV111" s="1221">
        <v>0</v>
      </c>
      <c r="AW111" s="1221">
        <v>0</v>
      </c>
      <c r="AX111" s="1221">
        <v>0</v>
      </c>
      <c r="AY111" s="1221">
        <v>0</v>
      </c>
      <c r="AZ111" s="1221">
        <v>0</v>
      </c>
      <c r="BA111" s="1221">
        <v>0</v>
      </c>
      <c r="BB111" s="1221">
        <v>0</v>
      </c>
      <c r="BC111" s="1221">
        <v>0</v>
      </c>
      <c r="BD111" s="1221">
        <v>0</v>
      </c>
      <c r="BE111" s="1221">
        <v>0</v>
      </c>
      <c r="BF111" s="1221">
        <v>0</v>
      </c>
      <c r="BG111" s="1221">
        <v>0</v>
      </c>
      <c r="BH111" s="1221">
        <v>0</v>
      </c>
      <c r="BI111" s="1221">
        <v>0</v>
      </c>
      <c r="BJ111" s="1221">
        <v>0</v>
      </c>
      <c r="BK111" s="1221">
        <v>0</v>
      </c>
      <c r="BL111" s="1221">
        <v>0</v>
      </c>
      <c r="BM111" s="1221">
        <v>0</v>
      </c>
      <c r="BN111" s="1221">
        <v>0</v>
      </c>
      <c r="BO111" s="1221">
        <v>0</v>
      </c>
      <c r="BP111" s="1184"/>
      <c r="BQ111" s="1184"/>
      <c r="BR111" s="1184"/>
      <c r="BS111" s="1184"/>
      <c r="BT111" s="1184"/>
      <c r="BU111" s="1184"/>
      <c r="BV111" s="1184"/>
      <c r="BW111" s="1184"/>
      <c r="BX111" s="1184"/>
      <c r="BY111" s="1184"/>
      <c r="BZ111" s="208"/>
      <c r="CA111" s="208"/>
      <c r="CB111" s="208"/>
      <c r="CC111" s="208"/>
      <c r="CD111" s="211"/>
    </row>
    <row r="112" ht="18" customHeight="1">
      <c r="A112" s="1272"/>
      <c r="B112" s="1217"/>
      <c r="C112" s="1217"/>
      <c r="D112" s="1217"/>
      <c r="E112" s="1217"/>
      <c r="F112" s="1217"/>
      <c r="G112" s="1217"/>
      <c r="H112" s="1217"/>
      <c r="I112" s="1217"/>
      <c r="J112" s="1217"/>
      <c r="K112" s="1217"/>
      <c r="L112" s="1217"/>
      <c r="M112" s="1217"/>
      <c r="N112" s="1217"/>
      <c r="O112" s="1221">
        <v>24</v>
      </c>
      <c r="P112" s="1233">
        <f t="shared" si="537" ref="P112:AE127">$F$49</f>
        <v>0</v>
      </c>
      <c r="Q112" s="1233">
        <f t="shared" si="515"/>
        <v>0</v>
      </c>
      <c r="R112" s="1233">
        <f t="shared" si="494"/>
        <v>0</v>
      </c>
      <c r="S112" s="1233">
        <f t="shared" si="474"/>
        <v>0</v>
      </c>
      <c r="T112" s="1233">
        <f t="shared" si="455"/>
        <v>0</v>
      </c>
      <c r="U112" s="1233">
        <f t="shared" si="437"/>
        <v>0</v>
      </c>
      <c r="V112" s="1233">
        <f t="shared" si="420"/>
        <v>0</v>
      </c>
      <c r="W112" s="1233">
        <f t="shared" si="404"/>
        <v>0</v>
      </c>
      <c r="X112" s="1233">
        <f t="shared" si="389"/>
        <v>0</v>
      </c>
      <c r="Y112" s="1233">
        <f t="shared" si="375"/>
        <v>0</v>
      </c>
      <c r="Z112" s="1233">
        <f t="shared" si="362"/>
        <v>0</v>
      </c>
      <c r="AA112" s="1233">
        <f t="shared" si="350"/>
        <v>91149</v>
      </c>
      <c r="AB112" s="1233">
        <f t="shared" si="339"/>
        <v>70894</v>
      </c>
      <c r="AC112" s="1233">
        <f t="shared" si="329"/>
        <v>81022</v>
      </c>
      <c r="AD112" s="1233">
        <f t="shared" si="320"/>
        <v>91149</v>
      </c>
      <c r="AE112" s="1233">
        <f t="shared" si="312"/>
        <v>101277</v>
      </c>
      <c r="AF112" s="1233">
        <f t="shared" si="553" ref="AF112:AU127">$F$33</f>
        <v>101277</v>
      </c>
      <c r="AG112" s="1233">
        <f t="shared" si="531"/>
        <v>101277</v>
      </c>
      <c r="AH112" s="1233">
        <f t="shared" si="510"/>
        <v>101277</v>
      </c>
      <c r="AI112" s="1233">
        <f t="shared" si="490"/>
        <v>91149</v>
      </c>
      <c r="AJ112" s="1233">
        <f t="shared" si="471"/>
        <v>81022</v>
      </c>
      <c r="AK112" s="1233">
        <f t="shared" si="453"/>
        <v>60766</v>
      </c>
      <c r="AL112" s="1233">
        <f t="shared" si="436"/>
        <v>40511</v>
      </c>
      <c r="AM112" s="1221">
        <v>0</v>
      </c>
      <c r="AN112" s="1221">
        <v>0</v>
      </c>
      <c r="AO112" s="1221">
        <v>0</v>
      </c>
      <c r="AP112" s="1221">
        <v>0</v>
      </c>
      <c r="AQ112" s="1221">
        <v>0</v>
      </c>
      <c r="AR112" s="1221">
        <v>0</v>
      </c>
      <c r="AS112" s="1221">
        <v>0</v>
      </c>
      <c r="AT112" s="1221">
        <v>0</v>
      </c>
      <c r="AU112" s="1221">
        <v>0</v>
      </c>
      <c r="AV112" s="1221">
        <v>0</v>
      </c>
      <c r="AW112" s="1221">
        <v>0</v>
      </c>
      <c r="AX112" s="1221">
        <v>0</v>
      </c>
      <c r="AY112" s="1221">
        <v>0</v>
      </c>
      <c r="AZ112" s="1221">
        <v>0</v>
      </c>
      <c r="BA112" s="1221">
        <v>0</v>
      </c>
      <c r="BB112" s="1221">
        <v>0</v>
      </c>
      <c r="BC112" s="1221">
        <v>0</v>
      </c>
      <c r="BD112" s="1221">
        <v>0</v>
      </c>
      <c r="BE112" s="1221">
        <v>0</v>
      </c>
      <c r="BF112" s="1221">
        <v>0</v>
      </c>
      <c r="BG112" s="1221">
        <v>0</v>
      </c>
      <c r="BH112" s="1221">
        <v>0</v>
      </c>
      <c r="BI112" s="1221">
        <v>0</v>
      </c>
      <c r="BJ112" s="1221">
        <v>0</v>
      </c>
      <c r="BK112" s="1221">
        <v>0</v>
      </c>
      <c r="BL112" s="1221">
        <v>0</v>
      </c>
      <c r="BM112" s="1221">
        <v>0</v>
      </c>
      <c r="BN112" s="1221">
        <v>0</v>
      </c>
      <c r="BO112" s="1221">
        <v>0</v>
      </c>
      <c r="BP112" s="1184"/>
      <c r="BQ112" s="1184"/>
      <c r="BR112" s="1184"/>
      <c r="BS112" s="1184"/>
      <c r="BT112" s="1184"/>
      <c r="BU112" s="1184"/>
      <c r="BV112" s="1184"/>
      <c r="BW112" s="1184"/>
      <c r="BX112" s="1184"/>
      <c r="BY112" s="1184"/>
      <c r="BZ112" s="208"/>
      <c r="CA112" s="208"/>
      <c r="CB112" s="208"/>
      <c r="CC112" s="208"/>
      <c r="CD112" s="211"/>
    </row>
    <row r="113" ht="18" customHeight="1">
      <c r="A113" s="1272"/>
      <c r="B113" s="1217"/>
      <c r="C113" s="1217"/>
      <c r="D113" s="1217"/>
      <c r="E113" s="1217"/>
      <c r="F113" s="1217"/>
      <c r="G113" s="1217"/>
      <c r="H113" s="1217"/>
      <c r="I113" s="1217"/>
      <c r="J113" s="1217"/>
      <c r="K113" s="1217"/>
      <c r="L113" s="1217"/>
      <c r="M113" s="1217"/>
      <c r="N113" s="1217"/>
      <c r="O113" s="1221">
        <v>25</v>
      </c>
      <c r="P113" s="1233">
        <f t="shared" si="560" ref="P113:AE128">$F$50</f>
        <v>0</v>
      </c>
      <c r="Q113" s="1233">
        <f t="shared" si="537"/>
        <v>0</v>
      </c>
      <c r="R113" s="1233">
        <f t="shared" si="515"/>
        <v>0</v>
      </c>
      <c r="S113" s="1233">
        <f t="shared" si="494"/>
        <v>0</v>
      </c>
      <c r="T113" s="1233">
        <f t="shared" si="474"/>
        <v>0</v>
      </c>
      <c r="U113" s="1233">
        <f t="shared" si="455"/>
        <v>0</v>
      </c>
      <c r="V113" s="1233">
        <f t="shared" si="437"/>
        <v>0</v>
      </c>
      <c r="W113" s="1233">
        <f t="shared" si="420"/>
        <v>0</v>
      </c>
      <c r="X113" s="1233">
        <f t="shared" si="404"/>
        <v>0</v>
      </c>
      <c r="Y113" s="1233">
        <f t="shared" si="389"/>
        <v>0</v>
      </c>
      <c r="Z113" s="1233">
        <f t="shared" si="375"/>
        <v>0</v>
      </c>
      <c r="AA113" s="1233">
        <f t="shared" si="362"/>
        <v>0</v>
      </c>
      <c r="AB113" s="1233">
        <f t="shared" si="350"/>
        <v>91149</v>
      </c>
      <c r="AC113" s="1233">
        <f t="shared" si="339"/>
        <v>70894</v>
      </c>
      <c r="AD113" s="1233">
        <f t="shared" si="329"/>
        <v>81022</v>
      </c>
      <c r="AE113" s="1233">
        <f t="shared" si="320"/>
        <v>91149</v>
      </c>
      <c r="AF113" s="1233">
        <f t="shared" si="576" ref="AF113:AU128">$F$34</f>
        <v>101277</v>
      </c>
      <c r="AG113" s="1233">
        <f t="shared" si="553"/>
        <v>101277</v>
      </c>
      <c r="AH113" s="1233">
        <f t="shared" si="531"/>
        <v>101277</v>
      </c>
      <c r="AI113" s="1233">
        <f t="shared" si="510"/>
        <v>101277</v>
      </c>
      <c r="AJ113" s="1233">
        <f t="shared" si="490"/>
        <v>91149</v>
      </c>
      <c r="AK113" s="1233">
        <f t="shared" si="471"/>
        <v>81022</v>
      </c>
      <c r="AL113" s="1233">
        <f t="shared" si="453"/>
        <v>60766</v>
      </c>
      <c r="AM113" s="1233">
        <f t="shared" si="436"/>
        <v>40511</v>
      </c>
      <c r="AN113" s="1221">
        <v>0</v>
      </c>
      <c r="AO113" s="1221">
        <v>0</v>
      </c>
      <c r="AP113" s="1221">
        <v>0</v>
      </c>
      <c r="AQ113" s="1221">
        <v>0</v>
      </c>
      <c r="AR113" s="1221">
        <v>0</v>
      </c>
      <c r="AS113" s="1221">
        <v>0</v>
      </c>
      <c r="AT113" s="1221">
        <v>0</v>
      </c>
      <c r="AU113" s="1221">
        <v>0</v>
      </c>
      <c r="AV113" s="1221">
        <v>0</v>
      </c>
      <c r="AW113" s="1221">
        <v>0</v>
      </c>
      <c r="AX113" s="1221">
        <v>0</v>
      </c>
      <c r="AY113" s="1221">
        <v>0</v>
      </c>
      <c r="AZ113" s="1221">
        <v>0</v>
      </c>
      <c r="BA113" s="1221">
        <v>0</v>
      </c>
      <c r="BB113" s="1221">
        <v>0</v>
      </c>
      <c r="BC113" s="1221">
        <v>0</v>
      </c>
      <c r="BD113" s="1221">
        <v>0</v>
      </c>
      <c r="BE113" s="1221">
        <v>0</v>
      </c>
      <c r="BF113" s="1221">
        <v>0</v>
      </c>
      <c r="BG113" s="1221">
        <v>0</v>
      </c>
      <c r="BH113" s="1221">
        <v>0</v>
      </c>
      <c r="BI113" s="1221">
        <v>0</v>
      </c>
      <c r="BJ113" s="1221">
        <v>0</v>
      </c>
      <c r="BK113" s="1221">
        <v>0</v>
      </c>
      <c r="BL113" s="1221">
        <v>0</v>
      </c>
      <c r="BM113" s="1221">
        <v>0</v>
      </c>
      <c r="BN113" s="1221">
        <v>0</v>
      </c>
      <c r="BO113" s="1221">
        <v>0</v>
      </c>
      <c r="BP113" s="1184"/>
      <c r="BQ113" s="1184"/>
      <c r="BR113" s="1184"/>
      <c r="BS113" s="1184"/>
      <c r="BT113" s="1184"/>
      <c r="BU113" s="1184"/>
      <c r="BV113" s="1184"/>
      <c r="BW113" s="1184"/>
      <c r="BX113" s="1184"/>
      <c r="BY113" s="1184"/>
      <c r="BZ113" s="208"/>
      <c r="CA113" s="208"/>
      <c r="CB113" s="208"/>
      <c r="CC113" s="208"/>
      <c r="CD113" s="211"/>
    </row>
    <row r="114" ht="18" customHeight="1">
      <c r="A114" s="1272"/>
      <c r="B114" s="1217"/>
      <c r="C114" s="1217"/>
      <c r="D114" s="1217"/>
      <c r="E114" s="1217"/>
      <c r="F114" s="1217"/>
      <c r="G114" s="1217"/>
      <c r="H114" s="1217"/>
      <c r="I114" s="1217"/>
      <c r="J114" s="1217"/>
      <c r="K114" s="1217"/>
      <c r="L114" s="1217"/>
      <c r="M114" s="1217"/>
      <c r="N114" s="1217"/>
      <c r="O114" s="1221">
        <v>26</v>
      </c>
      <c r="P114" s="1233">
        <f t="shared" si="584" ref="P114:AE129">$F$51</f>
        <v>0</v>
      </c>
      <c r="Q114" s="1233">
        <f t="shared" si="560"/>
        <v>0</v>
      </c>
      <c r="R114" s="1233">
        <f t="shared" si="537"/>
        <v>0</v>
      </c>
      <c r="S114" s="1233">
        <f t="shared" si="515"/>
        <v>0</v>
      </c>
      <c r="T114" s="1233">
        <f t="shared" si="494"/>
        <v>0</v>
      </c>
      <c r="U114" s="1233">
        <f t="shared" si="474"/>
        <v>0</v>
      </c>
      <c r="V114" s="1233">
        <f t="shared" si="455"/>
        <v>0</v>
      </c>
      <c r="W114" s="1233">
        <f t="shared" si="437"/>
        <v>0</v>
      </c>
      <c r="X114" s="1233">
        <f t="shared" si="420"/>
        <v>0</v>
      </c>
      <c r="Y114" s="1233">
        <f t="shared" si="404"/>
        <v>0</v>
      </c>
      <c r="Z114" s="1233">
        <f t="shared" si="389"/>
        <v>0</v>
      </c>
      <c r="AA114" s="1233">
        <f t="shared" si="375"/>
        <v>0</v>
      </c>
      <c r="AB114" s="1233">
        <f t="shared" si="362"/>
        <v>0</v>
      </c>
      <c r="AC114" s="1233">
        <f t="shared" si="350"/>
        <v>91149</v>
      </c>
      <c r="AD114" s="1233">
        <f t="shared" si="339"/>
        <v>70894</v>
      </c>
      <c r="AE114" s="1233">
        <f t="shared" si="329"/>
        <v>81022</v>
      </c>
      <c r="AF114" s="1233">
        <f t="shared" si="600" ref="AF114:AU129">$F$35</f>
        <v>91149</v>
      </c>
      <c r="AG114" s="1233">
        <f t="shared" si="576"/>
        <v>101277</v>
      </c>
      <c r="AH114" s="1233">
        <f t="shared" si="553"/>
        <v>101277</v>
      </c>
      <c r="AI114" s="1233">
        <f t="shared" si="531"/>
        <v>101277</v>
      </c>
      <c r="AJ114" s="1233">
        <f t="shared" si="510"/>
        <v>101277</v>
      </c>
      <c r="AK114" s="1233">
        <f t="shared" si="490"/>
        <v>91149</v>
      </c>
      <c r="AL114" s="1233">
        <f t="shared" si="471"/>
        <v>81022</v>
      </c>
      <c r="AM114" s="1233">
        <f t="shared" si="453"/>
        <v>60766</v>
      </c>
      <c r="AN114" s="1233">
        <f t="shared" si="436"/>
        <v>40511</v>
      </c>
      <c r="AO114" s="1221">
        <v>0</v>
      </c>
      <c r="AP114" s="1221">
        <v>0</v>
      </c>
      <c r="AQ114" s="1221">
        <v>0</v>
      </c>
      <c r="AR114" s="1221">
        <v>0</v>
      </c>
      <c r="AS114" s="1221">
        <v>0</v>
      </c>
      <c r="AT114" s="1221">
        <v>0</v>
      </c>
      <c r="AU114" s="1221">
        <v>0</v>
      </c>
      <c r="AV114" s="1221">
        <v>0</v>
      </c>
      <c r="AW114" s="1221">
        <v>0</v>
      </c>
      <c r="AX114" s="1221">
        <v>0</v>
      </c>
      <c r="AY114" s="1221">
        <v>0</v>
      </c>
      <c r="AZ114" s="1221">
        <v>0</v>
      </c>
      <c r="BA114" s="1221">
        <v>0</v>
      </c>
      <c r="BB114" s="1221">
        <v>0</v>
      </c>
      <c r="BC114" s="1221">
        <v>0</v>
      </c>
      <c r="BD114" s="1221">
        <v>0</v>
      </c>
      <c r="BE114" s="1221">
        <v>0</v>
      </c>
      <c r="BF114" s="1221">
        <v>0</v>
      </c>
      <c r="BG114" s="1221">
        <v>0</v>
      </c>
      <c r="BH114" s="1221">
        <v>0</v>
      </c>
      <c r="BI114" s="1221">
        <v>0</v>
      </c>
      <c r="BJ114" s="1221">
        <v>0</v>
      </c>
      <c r="BK114" s="1221">
        <v>0</v>
      </c>
      <c r="BL114" s="1221">
        <v>0</v>
      </c>
      <c r="BM114" s="1221">
        <v>0</v>
      </c>
      <c r="BN114" s="1221">
        <v>0</v>
      </c>
      <c r="BO114" s="1221">
        <v>0</v>
      </c>
      <c r="BP114" s="1184"/>
      <c r="BQ114" s="1184"/>
      <c r="BR114" s="1184"/>
      <c r="BS114" s="1184"/>
      <c r="BT114" s="1184"/>
      <c r="BU114" s="1184"/>
      <c r="BV114" s="1184"/>
      <c r="BW114" s="1184"/>
      <c r="BX114" s="1184"/>
      <c r="BY114" s="1184"/>
      <c r="BZ114" s="208"/>
      <c r="CA114" s="208"/>
      <c r="CB114" s="208"/>
      <c r="CC114" s="208"/>
      <c r="CD114" s="211"/>
    </row>
    <row r="115" ht="18" customHeight="1">
      <c r="A115" s="1272"/>
      <c r="B115" s="1217"/>
      <c r="C115" s="1217"/>
      <c r="D115" s="1217"/>
      <c r="E115" s="1217"/>
      <c r="F115" s="1217"/>
      <c r="G115" s="1217"/>
      <c r="H115" s="1217"/>
      <c r="I115" s="1217"/>
      <c r="J115" s="1217"/>
      <c r="K115" s="1217"/>
      <c r="L115" s="1217"/>
      <c r="M115" s="1217"/>
      <c r="N115" s="1217"/>
      <c r="O115" s="1221">
        <v>27</v>
      </c>
      <c r="P115" s="1233">
        <f t="shared" si="609" ref="P115:AE130">$F$52</f>
        <v>0</v>
      </c>
      <c r="Q115" s="1233">
        <f t="shared" si="584"/>
        <v>0</v>
      </c>
      <c r="R115" s="1233">
        <f t="shared" si="560"/>
        <v>0</v>
      </c>
      <c r="S115" s="1233">
        <f t="shared" si="537"/>
        <v>0</v>
      </c>
      <c r="T115" s="1233">
        <f t="shared" si="515"/>
        <v>0</v>
      </c>
      <c r="U115" s="1233">
        <f t="shared" si="494"/>
        <v>0</v>
      </c>
      <c r="V115" s="1233">
        <f t="shared" si="474"/>
        <v>0</v>
      </c>
      <c r="W115" s="1233">
        <f t="shared" si="455"/>
        <v>0</v>
      </c>
      <c r="X115" s="1233">
        <f t="shared" si="437"/>
        <v>0</v>
      </c>
      <c r="Y115" s="1233">
        <f t="shared" si="420"/>
        <v>0</v>
      </c>
      <c r="Z115" s="1233">
        <f t="shared" si="404"/>
        <v>0</v>
      </c>
      <c r="AA115" s="1233">
        <f t="shared" si="389"/>
        <v>0</v>
      </c>
      <c r="AB115" s="1233">
        <f t="shared" si="375"/>
        <v>0</v>
      </c>
      <c r="AC115" s="1233">
        <f t="shared" si="362"/>
        <v>0</v>
      </c>
      <c r="AD115" s="1233">
        <f t="shared" si="350"/>
        <v>91149</v>
      </c>
      <c r="AE115" s="1233">
        <f t="shared" si="339"/>
        <v>70894</v>
      </c>
      <c r="AF115" s="1233">
        <f t="shared" si="625" ref="AF115:AU130">$F$36</f>
        <v>81022</v>
      </c>
      <c r="AG115" s="1233">
        <f t="shared" si="600"/>
        <v>91149</v>
      </c>
      <c r="AH115" s="1233">
        <f t="shared" si="576"/>
        <v>101277</v>
      </c>
      <c r="AI115" s="1233">
        <f t="shared" si="553"/>
        <v>101277</v>
      </c>
      <c r="AJ115" s="1233">
        <f t="shared" si="531"/>
        <v>101277</v>
      </c>
      <c r="AK115" s="1233">
        <f t="shared" si="510"/>
        <v>101277</v>
      </c>
      <c r="AL115" s="1233">
        <f t="shared" si="490"/>
        <v>91149</v>
      </c>
      <c r="AM115" s="1233">
        <f t="shared" si="471"/>
        <v>81022</v>
      </c>
      <c r="AN115" s="1233">
        <f t="shared" si="453"/>
        <v>60766</v>
      </c>
      <c r="AO115" s="1233">
        <f t="shared" si="436"/>
        <v>40511</v>
      </c>
      <c r="AP115" s="1221">
        <v>0</v>
      </c>
      <c r="AQ115" s="1221">
        <v>0</v>
      </c>
      <c r="AR115" s="1221">
        <v>0</v>
      </c>
      <c r="AS115" s="1221">
        <v>0</v>
      </c>
      <c r="AT115" s="1221">
        <v>0</v>
      </c>
      <c r="AU115" s="1221">
        <v>0</v>
      </c>
      <c r="AV115" s="1221">
        <v>0</v>
      </c>
      <c r="AW115" s="1221">
        <v>0</v>
      </c>
      <c r="AX115" s="1221">
        <v>0</v>
      </c>
      <c r="AY115" s="1221">
        <v>0</v>
      </c>
      <c r="AZ115" s="1221">
        <v>0</v>
      </c>
      <c r="BA115" s="1221">
        <v>0</v>
      </c>
      <c r="BB115" s="1221">
        <v>0</v>
      </c>
      <c r="BC115" s="1221">
        <v>0</v>
      </c>
      <c r="BD115" s="1221">
        <v>0</v>
      </c>
      <c r="BE115" s="1221">
        <v>0</v>
      </c>
      <c r="BF115" s="1221">
        <v>0</v>
      </c>
      <c r="BG115" s="1221">
        <v>0</v>
      </c>
      <c r="BH115" s="1221">
        <v>0</v>
      </c>
      <c r="BI115" s="1221">
        <v>0</v>
      </c>
      <c r="BJ115" s="1221">
        <v>0</v>
      </c>
      <c r="BK115" s="1221">
        <v>0</v>
      </c>
      <c r="BL115" s="1221">
        <v>0</v>
      </c>
      <c r="BM115" s="1221">
        <v>0</v>
      </c>
      <c r="BN115" s="1221">
        <v>0</v>
      </c>
      <c r="BO115" s="1221">
        <v>0</v>
      </c>
      <c r="BP115" s="1184"/>
      <c r="BQ115" s="1184"/>
      <c r="BR115" s="1184"/>
      <c r="BS115" s="1184"/>
      <c r="BT115" s="1184"/>
      <c r="BU115" s="1184"/>
      <c r="BV115" s="1184"/>
      <c r="BW115" s="1184"/>
      <c r="BX115" s="1184"/>
      <c r="BY115" s="1184"/>
      <c r="BZ115" s="208"/>
      <c r="CA115" s="208"/>
      <c r="CB115" s="208"/>
      <c r="CC115" s="208"/>
      <c r="CD115" s="211"/>
    </row>
    <row r="116" ht="18" customHeight="1">
      <c r="A116" s="1272"/>
      <c r="B116" s="1217"/>
      <c r="C116" s="1217"/>
      <c r="D116" s="1217"/>
      <c r="E116" s="1217"/>
      <c r="F116" s="1217"/>
      <c r="G116" s="1217"/>
      <c r="H116" s="1217"/>
      <c r="I116" s="1217"/>
      <c r="J116" s="1217"/>
      <c r="K116" s="1217"/>
      <c r="L116" s="1217"/>
      <c r="M116" s="1217"/>
      <c r="N116" s="1217"/>
      <c r="O116" s="1221">
        <v>28</v>
      </c>
      <c r="P116" s="1233">
        <f t="shared" si="635" ref="P116:AE131">$F$53</f>
        <v>0</v>
      </c>
      <c r="Q116" s="1233">
        <f t="shared" si="609"/>
        <v>0</v>
      </c>
      <c r="R116" s="1233">
        <f t="shared" si="584"/>
        <v>0</v>
      </c>
      <c r="S116" s="1233">
        <f t="shared" si="560"/>
        <v>0</v>
      </c>
      <c r="T116" s="1233">
        <f t="shared" si="537"/>
        <v>0</v>
      </c>
      <c r="U116" s="1233">
        <f t="shared" si="515"/>
        <v>0</v>
      </c>
      <c r="V116" s="1233">
        <f t="shared" si="494"/>
        <v>0</v>
      </c>
      <c r="W116" s="1233">
        <f t="shared" si="474"/>
        <v>0</v>
      </c>
      <c r="X116" s="1233">
        <f t="shared" si="455"/>
        <v>0</v>
      </c>
      <c r="Y116" s="1233">
        <f t="shared" si="437"/>
        <v>0</v>
      </c>
      <c r="Z116" s="1233">
        <f t="shared" si="420"/>
        <v>0</v>
      </c>
      <c r="AA116" s="1233">
        <f t="shared" si="404"/>
        <v>0</v>
      </c>
      <c r="AB116" s="1233">
        <f t="shared" si="389"/>
        <v>0</v>
      </c>
      <c r="AC116" s="1233">
        <f t="shared" si="375"/>
        <v>0</v>
      </c>
      <c r="AD116" s="1233">
        <f t="shared" si="362"/>
        <v>0</v>
      </c>
      <c r="AE116" s="1233">
        <f t="shared" si="350"/>
        <v>91149</v>
      </c>
      <c r="AF116" s="1233">
        <f t="shared" si="651" ref="AF116:AU131">$F$37</f>
        <v>70894</v>
      </c>
      <c r="AG116" s="1233">
        <f t="shared" si="625"/>
        <v>81022</v>
      </c>
      <c r="AH116" s="1233">
        <f t="shared" si="600"/>
        <v>91149</v>
      </c>
      <c r="AI116" s="1233">
        <f t="shared" si="576"/>
        <v>101277</v>
      </c>
      <c r="AJ116" s="1233">
        <f t="shared" si="553"/>
        <v>101277</v>
      </c>
      <c r="AK116" s="1233">
        <f t="shared" si="531"/>
        <v>101277</v>
      </c>
      <c r="AL116" s="1233">
        <f t="shared" si="510"/>
        <v>101277</v>
      </c>
      <c r="AM116" s="1233">
        <f t="shared" si="490"/>
        <v>91149</v>
      </c>
      <c r="AN116" s="1233">
        <f t="shared" si="471"/>
        <v>81022</v>
      </c>
      <c r="AO116" s="1233">
        <f t="shared" si="453"/>
        <v>60766</v>
      </c>
      <c r="AP116" s="1233">
        <f t="shared" si="436"/>
        <v>40511</v>
      </c>
      <c r="AQ116" s="1221">
        <v>0</v>
      </c>
      <c r="AR116" s="1221">
        <v>0</v>
      </c>
      <c r="AS116" s="1221">
        <v>0</v>
      </c>
      <c r="AT116" s="1221">
        <v>0</v>
      </c>
      <c r="AU116" s="1221">
        <v>0</v>
      </c>
      <c r="AV116" s="1221">
        <v>0</v>
      </c>
      <c r="AW116" s="1221">
        <v>0</v>
      </c>
      <c r="AX116" s="1221">
        <v>0</v>
      </c>
      <c r="AY116" s="1221">
        <v>0</v>
      </c>
      <c r="AZ116" s="1221">
        <v>0</v>
      </c>
      <c r="BA116" s="1221">
        <v>0</v>
      </c>
      <c r="BB116" s="1221">
        <v>0</v>
      </c>
      <c r="BC116" s="1221">
        <v>0</v>
      </c>
      <c r="BD116" s="1221">
        <v>0</v>
      </c>
      <c r="BE116" s="1221">
        <v>0</v>
      </c>
      <c r="BF116" s="1221">
        <v>0</v>
      </c>
      <c r="BG116" s="1221">
        <v>0</v>
      </c>
      <c r="BH116" s="1221">
        <v>0</v>
      </c>
      <c r="BI116" s="1221">
        <v>0</v>
      </c>
      <c r="BJ116" s="1221">
        <v>0</v>
      </c>
      <c r="BK116" s="1221">
        <v>0</v>
      </c>
      <c r="BL116" s="1221">
        <v>0</v>
      </c>
      <c r="BM116" s="1221">
        <v>0</v>
      </c>
      <c r="BN116" s="1221">
        <v>0</v>
      </c>
      <c r="BO116" s="1221">
        <v>0</v>
      </c>
      <c r="BP116" s="1184"/>
      <c r="BQ116" s="1184"/>
      <c r="BR116" s="1184"/>
      <c r="BS116" s="1184"/>
      <c r="BT116" s="1184"/>
      <c r="BU116" s="1184"/>
      <c r="BV116" s="1184"/>
      <c r="BW116" s="1184"/>
      <c r="BX116" s="1184"/>
      <c r="BY116" s="1184"/>
      <c r="BZ116" s="208"/>
      <c r="CA116" s="208"/>
      <c r="CB116" s="208"/>
      <c r="CC116" s="208"/>
      <c r="CD116" s="211"/>
    </row>
    <row r="117" ht="18" customHeight="1">
      <c r="A117" s="1272"/>
      <c r="B117" s="1217"/>
      <c r="C117" s="1217"/>
      <c r="D117" s="1217"/>
      <c r="E117" s="1217"/>
      <c r="F117" s="1217"/>
      <c r="G117" s="1217"/>
      <c r="H117" s="1217"/>
      <c r="I117" s="1217"/>
      <c r="J117" s="1217"/>
      <c r="K117" s="1217"/>
      <c r="L117" s="1217"/>
      <c r="M117" s="1217"/>
      <c r="N117" s="1217"/>
      <c r="O117" s="1221">
        <v>29</v>
      </c>
      <c r="P117" s="1233">
        <f t="shared" si="662" ref="P117:AE132">$F$54</f>
        <v>0</v>
      </c>
      <c r="Q117" s="1233">
        <f t="shared" si="635"/>
        <v>0</v>
      </c>
      <c r="R117" s="1233">
        <f t="shared" si="609"/>
        <v>0</v>
      </c>
      <c r="S117" s="1233">
        <f t="shared" si="584"/>
        <v>0</v>
      </c>
      <c r="T117" s="1233">
        <f t="shared" si="560"/>
        <v>0</v>
      </c>
      <c r="U117" s="1233">
        <f t="shared" si="537"/>
        <v>0</v>
      </c>
      <c r="V117" s="1233">
        <f t="shared" si="515"/>
        <v>0</v>
      </c>
      <c r="W117" s="1233">
        <f t="shared" si="494"/>
        <v>0</v>
      </c>
      <c r="X117" s="1233">
        <f t="shared" si="474"/>
        <v>0</v>
      </c>
      <c r="Y117" s="1233">
        <f t="shared" si="455"/>
        <v>0</v>
      </c>
      <c r="Z117" s="1233">
        <f t="shared" si="437"/>
        <v>0</v>
      </c>
      <c r="AA117" s="1233">
        <f t="shared" si="420"/>
        <v>0</v>
      </c>
      <c r="AB117" s="1233">
        <f t="shared" si="404"/>
        <v>0</v>
      </c>
      <c r="AC117" s="1233">
        <f t="shared" si="389"/>
        <v>0</v>
      </c>
      <c r="AD117" s="1233">
        <f t="shared" si="375"/>
        <v>0</v>
      </c>
      <c r="AE117" s="1233">
        <f t="shared" si="362"/>
        <v>0</v>
      </c>
      <c r="AF117" s="1233">
        <f t="shared" si="678" ref="AF117:AU132">$F$38</f>
        <v>91149</v>
      </c>
      <c r="AG117" s="1233">
        <f t="shared" si="651"/>
        <v>70894</v>
      </c>
      <c r="AH117" s="1233">
        <f t="shared" si="625"/>
        <v>81022</v>
      </c>
      <c r="AI117" s="1233">
        <f t="shared" si="600"/>
        <v>91149</v>
      </c>
      <c r="AJ117" s="1233">
        <f t="shared" si="576"/>
        <v>101277</v>
      </c>
      <c r="AK117" s="1233">
        <f t="shared" si="553"/>
        <v>101277</v>
      </c>
      <c r="AL117" s="1233">
        <f t="shared" si="531"/>
        <v>101277</v>
      </c>
      <c r="AM117" s="1233">
        <f t="shared" si="510"/>
        <v>101277</v>
      </c>
      <c r="AN117" s="1233">
        <f t="shared" si="490"/>
        <v>91149</v>
      </c>
      <c r="AO117" s="1233">
        <f t="shared" si="471"/>
        <v>81022</v>
      </c>
      <c r="AP117" s="1233">
        <f t="shared" si="453"/>
        <v>60766</v>
      </c>
      <c r="AQ117" s="1233">
        <f t="shared" si="436"/>
        <v>40511</v>
      </c>
      <c r="AR117" s="1221">
        <v>0</v>
      </c>
      <c r="AS117" s="1221">
        <v>0</v>
      </c>
      <c r="AT117" s="1221">
        <v>0</v>
      </c>
      <c r="AU117" s="1221">
        <v>0</v>
      </c>
      <c r="AV117" s="1221">
        <v>0</v>
      </c>
      <c r="AW117" s="1221">
        <v>0</v>
      </c>
      <c r="AX117" s="1221">
        <v>0</v>
      </c>
      <c r="AY117" s="1221">
        <v>0</v>
      </c>
      <c r="AZ117" s="1221">
        <v>0</v>
      </c>
      <c r="BA117" s="1221">
        <v>0</v>
      </c>
      <c r="BB117" s="1221">
        <v>0</v>
      </c>
      <c r="BC117" s="1221">
        <v>0</v>
      </c>
      <c r="BD117" s="1221">
        <v>0</v>
      </c>
      <c r="BE117" s="1221">
        <v>0</v>
      </c>
      <c r="BF117" s="1221">
        <v>0</v>
      </c>
      <c r="BG117" s="1221">
        <v>0</v>
      </c>
      <c r="BH117" s="1221">
        <v>0</v>
      </c>
      <c r="BI117" s="1221">
        <v>0</v>
      </c>
      <c r="BJ117" s="1221">
        <v>0</v>
      </c>
      <c r="BK117" s="1221">
        <v>0</v>
      </c>
      <c r="BL117" s="1221">
        <v>0</v>
      </c>
      <c r="BM117" s="1221">
        <v>0</v>
      </c>
      <c r="BN117" s="1221">
        <v>0</v>
      </c>
      <c r="BO117" s="1221">
        <v>0</v>
      </c>
      <c r="BP117" s="1184"/>
      <c r="BQ117" s="1184"/>
      <c r="BR117" s="1184"/>
      <c r="BS117" s="1184"/>
      <c r="BT117" s="1184"/>
      <c r="BU117" s="1184"/>
      <c r="BV117" s="1184"/>
      <c r="BW117" s="1184"/>
      <c r="BX117" s="1184"/>
      <c r="BY117" s="1184"/>
      <c r="BZ117" s="208"/>
      <c r="CA117" s="208"/>
      <c r="CB117" s="208"/>
      <c r="CC117" s="208"/>
      <c r="CD117" s="211"/>
    </row>
    <row r="118" ht="18" customHeight="1">
      <c r="A118" s="1272"/>
      <c r="B118" s="1217"/>
      <c r="C118" s="1217"/>
      <c r="D118" s="1217"/>
      <c r="E118" s="1217"/>
      <c r="F118" s="1217"/>
      <c r="G118" s="1217"/>
      <c r="H118" s="1217"/>
      <c r="I118" s="1217"/>
      <c r="J118" s="1217"/>
      <c r="K118" s="1217"/>
      <c r="L118" s="1217"/>
      <c r="M118" s="1217"/>
      <c r="N118" s="1217"/>
      <c r="O118" s="1221">
        <v>30</v>
      </c>
      <c r="P118" s="1233">
        <f t="shared" si="690" ref="P118:AE133">$F$55</f>
        <v>0</v>
      </c>
      <c r="Q118" s="1233">
        <f t="shared" si="662"/>
        <v>0</v>
      </c>
      <c r="R118" s="1233">
        <f t="shared" si="635"/>
        <v>0</v>
      </c>
      <c r="S118" s="1233">
        <f t="shared" si="609"/>
        <v>0</v>
      </c>
      <c r="T118" s="1233">
        <f t="shared" si="584"/>
        <v>0</v>
      </c>
      <c r="U118" s="1233">
        <f t="shared" si="560"/>
        <v>0</v>
      </c>
      <c r="V118" s="1233">
        <f t="shared" si="537"/>
        <v>0</v>
      </c>
      <c r="W118" s="1233">
        <f t="shared" si="515"/>
        <v>0</v>
      </c>
      <c r="X118" s="1233">
        <f t="shared" si="494"/>
        <v>0</v>
      </c>
      <c r="Y118" s="1233">
        <f t="shared" si="474"/>
        <v>0</v>
      </c>
      <c r="Z118" s="1233">
        <f t="shared" si="455"/>
        <v>0</v>
      </c>
      <c r="AA118" s="1233">
        <f t="shared" si="437"/>
        <v>0</v>
      </c>
      <c r="AB118" s="1233">
        <f t="shared" si="420"/>
        <v>0</v>
      </c>
      <c r="AC118" s="1233">
        <f t="shared" si="404"/>
        <v>0</v>
      </c>
      <c r="AD118" s="1233">
        <f t="shared" si="389"/>
        <v>0</v>
      </c>
      <c r="AE118" s="1233">
        <f t="shared" si="375"/>
        <v>0</v>
      </c>
      <c r="AF118" s="1233">
        <f t="shared" si="706" ref="AF118:AU133">$F$39</f>
        <v>0</v>
      </c>
      <c r="AG118" s="1233">
        <f t="shared" si="678"/>
        <v>91149</v>
      </c>
      <c r="AH118" s="1233">
        <f t="shared" si="651"/>
        <v>70894</v>
      </c>
      <c r="AI118" s="1233">
        <f t="shared" si="625"/>
        <v>81022</v>
      </c>
      <c r="AJ118" s="1233">
        <f t="shared" si="600"/>
        <v>91149</v>
      </c>
      <c r="AK118" s="1233">
        <f t="shared" si="576"/>
        <v>101277</v>
      </c>
      <c r="AL118" s="1233">
        <f t="shared" si="553"/>
        <v>101277</v>
      </c>
      <c r="AM118" s="1233">
        <f t="shared" si="531"/>
        <v>101277</v>
      </c>
      <c r="AN118" s="1233">
        <f t="shared" si="510"/>
        <v>101277</v>
      </c>
      <c r="AO118" s="1233">
        <f t="shared" si="490"/>
        <v>91149</v>
      </c>
      <c r="AP118" s="1233">
        <f t="shared" si="471"/>
        <v>81022</v>
      </c>
      <c r="AQ118" s="1233">
        <f t="shared" si="453"/>
        <v>60766</v>
      </c>
      <c r="AR118" s="1233">
        <f t="shared" si="436"/>
        <v>40511</v>
      </c>
      <c r="AS118" s="1221">
        <v>0</v>
      </c>
      <c r="AT118" s="1221">
        <v>0</v>
      </c>
      <c r="AU118" s="1221">
        <v>0</v>
      </c>
      <c r="AV118" s="1221">
        <v>0</v>
      </c>
      <c r="AW118" s="1221">
        <v>0</v>
      </c>
      <c r="AX118" s="1221">
        <v>0</v>
      </c>
      <c r="AY118" s="1221">
        <v>0</v>
      </c>
      <c r="AZ118" s="1221">
        <v>0</v>
      </c>
      <c r="BA118" s="1221">
        <v>0</v>
      </c>
      <c r="BB118" s="1221">
        <v>0</v>
      </c>
      <c r="BC118" s="1221">
        <v>0</v>
      </c>
      <c r="BD118" s="1221">
        <v>0</v>
      </c>
      <c r="BE118" s="1221">
        <v>0</v>
      </c>
      <c r="BF118" s="1221">
        <v>0</v>
      </c>
      <c r="BG118" s="1221">
        <v>0</v>
      </c>
      <c r="BH118" s="1221">
        <v>0</v>
      </c>
      <c r="BI118" s="1221">
        <v>0</v>
      </c>
      <c r="BJ118" s="1221">
        <v>0</v>
      </c>
      <c r="BK118" s="1221">
        <v>0</v>
      </c>
      <c r="BL118" s="1221">
        <v>0</v>
      </c>
      <c r="BM118" s="1221">
        <v>0</v>
      </c>
      <c r="BN118" s="1221">
        <v>0</v>
      </c>
      <c r="BO118" s="1221">
        <v>0</v>
      </c>
      <c r="BP118" s="1184"/>
      <c r="BQ118" s="1184"/>
      <c r="BR118" s="1184"/>
      <c r="BS118" s="1184"/>
      <c r="BT118" s="1184"/>
      <c r="BU118" s="1184"/>
      <c r="BV118" s="1184"/>
      <c r="BW118" s="1184"/>
      <c r="BX118" s="1184"/>
      <c r="BY118" s="1184"/>
      <c r="BZ118" s="208"/>
      <c r="CA118" s="208"/>
      <c r="CB118" s="208"/>
      <c r="CC118" s="208"/>
      <c r="CD118" s="211"/>
    </row>
    <row r="119" ht="18" customHeight="1">
      <c r="A119" s="1272"/>
      <c r="B119" s="1217"/>
      <c r="C119" s="1217"/>
      <c r="D119" s="1217"/>
      <c r="E119" s="1217"/>
      <c r="F119" s="1217"/>
      <c r="G119" s="1217"/>
      <c r="H119" s="1217"/>
      <c r="I119" s="1217"/>
      <c r="J119" s="1217"/>
      <c r="K119" s="1217"/>
      <c r="L119" s="1217"/>
      <c r="M119" s="1217"/>
      <c r="N119" s="1217"/>
      <c r="O119" s="1221">
        <v>31</v>
      </c>
      <c r="P119" s="1233">
        <f t="shared" si="719" ref="P119:AE134">$F$56</f>
        <v>0</v>
      </c>
      <c r="Q119" s="1233">
        <f t="shared" si="690"/>
        <v>0</v>
      </c>
      <c r="R119" s="1233">
        <f t="shared" si="662"/>
        <v>0</v>
      </c>
      <c r="S119" s="1233">
        <f t="shared" si="635"/>
        <v>0</v>
      </c>
      <c r="T119" s="1233">
        <f t="shared" si="609"/>
        <v>0</v>
      </c>
      <c r="U119" s="1233">
        <f t="shared" si="584"/>
        <v>0</v>
      </c>
      <c r="V119" s="1233">
        <f t="shared" si="560"/>
        <v>0</v>
      </c>
      <c r="W119" s="1233">
        <f t="shared" si="537"/>
        <v>0</v>
      </c>
      <c r="X119" s="1233">
        <f t="shared" si="515"/>
        <v>0</v>
      </c>
      <c r="Y119" s="1233">
        <f t="shared" si="494"/>
        <v>0</v>
      </c>
      <c r="Z119" s="1233">
        <f t="shared" si="474"/>
        <v>0</v>
      </c>
      <c r="AA119" s="1233">
        <f t="shared" si="455"/>
        <v>0</v>
      </c>
      <c r="AB119" s="1233">
        <f t="shared" si="437"/>
        <v>0</v>
      </c>
      <c r="AC119" s="1233">
        <f t="shared" si="420"/>
        <v>0</v>
      </c>
      <c r="AD119" s="1233">
        <f t="shared" si="404"/>
        <v>0</v>
      </c>
      <c r="AE119" s="1233">
        <f t="shared" si="389"/>
        <v>0</v>
      </c>
      <c r="AF119" s="1233">
        <f t="shared" si="735" ref="AF119:AU134">$F$40</f>
        <v>0</v>
      </c>
      <c r="AG119" s="1233">
        <f t="shared" si="706"/>
        <v>0</v>
      </c>
      <c r="AH119" s="1233">
        <f t="shared" si="678"/>
        <v>91149</v>
      </c>
      <c r="AI119" s="1233">
        <f t="shared" si="651"/>
        <v>70894</v>
      </c>
      <c r="AJ119" s="1233">
        <f t="shared" si="625"/>
        <v>81022</v>
      </c>
      <c r="AK119" s="1233">
        <f t="shared" si="600"/>
        <v>91149</v>
      </c>
      <c r="AL119" s="1233">
        <f t="shared" si="576"/>
        <v>101277</v>
      </c>
      <c r="AM119" s="1233">
        <f t="shared" si="553"/>
        <v>101277</v>
      </c>
      <c r="AN119" s="1233">
        <f t="shared" si="531"/>
        <v>101277</v>
      </c>
      <c r="AO119" s="1233">
        <f t="shared" si="510"/>
        <v>101277</v>
      </c>
      <c r="AP119" s="1233">
        <f t="shared" si="490"/>
        <v>91149</v>
      </c>
      <c r="AQ119" s="1233">
        <f t="shared" si="471"/>
        <v>81022</v>
      </c>
      <c r="AR119" s="1233">
        <f t="shared" si="453"/>
        <v>60766</v>
      </c>
      <c r="AS119" s="1233">
        <f t="shared" si="436"/>
        <v>40511</v>
      </c>
      <c r="AT119" s="1221">
        <v>0</v>
      </c>
      <c r="AU119" s="1221">
        <v>0</v>
      </c>
      <c r="AV119" s="1221">
        <v>0</v>
      </c>
      <c r="AW119" s="1221">
        <v>0</v>
      </c>
      <c r="AX119" s="1221">
        <v>0</v>
      </c>
      <c r="AY119" s="1221">
        <v>0</v>
      </c>
      <c r="AZ119" s="1221">
        <v>0</v>
      </c>
      <c r="BA119" s="1221">
        <v>0</v>
      </c>
      <c r="BB119" s="1221">
        <v>0</v>
      </c>
      <c r="BC119" s="1221">
        <v>0</v>
      </c>
      <c r="BD119" s="1221">
        <v>0</v>
      </c>
      <c r="BE119" s="1221">
        <v>0</v>
      </c>
      <c r="BF119" s="1221">
        <v>0</v>
      </c>
      <c r="BG119" s="1221">
        <v>0</v>
      </c>
      <c r="BH119" s="1221">
        <v>0</v>
      </c>
      <c r="BI119" s="1221">
        <v>0</v>
      </c>
      <c r="BJ119" s="1221">
        <v>0</v>
      </c>
      <c r="BK119" s="1221">
        <v>0</v>
      </c>
      <c r="BL119" s="1221">
        <v>0</v>
      </c>
      <c r="BM119" s="1221">
        <v>0</v>
      </c>
      <c r="BN119" s="1221">
        <v>0</v>
      </c>
      <c r="BO119" s="1221">
        <v>0</v>
      </c>
      <c r="BP119" s="1184"/>
      <c r="BQ119" s="1184"/>
      <c r="BR119" s="1184"/>
      <c r="BS119" s="1184"/>
      <c r="BT119" s="1184"/>
      <c r="BU119" s="1184"/>
      <c r="BV119" s="1184"/>
      <c r="BW119" s="1184"/>
      <c r="BX119" s="1184"/>
      <c r="BY119" s="1184"/>
      <c r="BZ119" s="208"/>
      <c r="CA119" s="208"/>
      <c r="CB119" s="208"/>
      <c r="CC119" s="208"/>
      <c r="CD119" s="211"/>
    </row>
    <row r="120" ht="18" customHeight="1">
      <c r="A120" s="1272"/>
      <c r="B120" s="1217"/>
      <c r="C120" s="1217"/>
      <c r="D120" s="1217"/>
      <c r="E120" s="1217"/>
      <c r="F120" s="1217"/>
      <c r="G120" s="1217"/>
      <c r="H120" s="1217"/>
      <c r="I120" s="1217"/>
      <c r="J120" s="1217"/>
      <c r="K120" s="1217"/>
      <c r="L120" s="1217"/>
      <c r="M120" s="1217"/>
      <c r="N120" s="1217"/>
      <c r="O120" s="1221">
        <v>32</v>
      </c>
      <c r="P120" s="1233">
        <f t="shared" si="749" ref="P120:AE135">$F$57</f>
        <v>0</v>
      </c>
      <c r="Q120" s="1233">
        <f t="shared" si="719"/>
        <v>0</v>
      </c>
      <c r="R120" s="1233">
        <f t="shared" si="690"/>
        <v>0</v>
      </c>
      <c r="S120" s="1233">
        <f t="shared" si="662"/>
        <v>0</v>
      </c>
      <c r="T120" s="1233">
        <f t="shared" si="635"/>
        <v>0</v>
      </c>
      <c r="U120" s="1233">
        <f t="shared" si="609"/>
        <v>0</v>
      </c>
      <c r="V120" s="1233">
        <f t="shared" si="584"/>
        <v>0</v>
      </c>
      <c r="W120" s="1233">
        <f t="shared" si="560"/>
        <v>0</v>
      </c>
      <c r="X120" s="1233">
        <f t="shared" si="537"/>
        <v>0</v>
      </c>
      <c r="Y120" s="1233">
        <f t="shared" si="515"/>
        <v>0</v>
      </c>
      <c r="Z120" s="1233">
        <f t="shared" si="494"/>
        <v>0</v>
      </c>
      <c r="AA120" s="1233">
        <f t="shared" si="474"/>
        <v>0</v>
      </c>
      <c r="AB120" s="1233">
        <f t="shared" si="455"/>
        <v>0</v>
      </c>
      <c r="AC120" s="1233">
        <f t="shared" si="437"/>
        <v>0</v>
      </c>
      <c r="AD120" s="1233">
        <f t="shared" si="420"/>
        <v>0</v>
      </c>
      <c r="AE120" s="1233">
        <f t="shared" si="404"/>
        <v>0</v>
      </c>
      <c r="AF120" s="1233">
        <f t="shared" si="765" ref="AF120:AU135">$F$41</f>
        <v>0</v>
      </c>
      <c r="AG120" s="1233">
        <f t="shared" si="735"/>
        <v>0</v>
      </c>
      <c r="AH120" s="1233">
        <f t="shared" si="706"/>
        <v>0</v>
      </c>
      <c r="AI120" s="1233">
        <f t="shared" si="678"/>
        <v>91149</v>
      </c>
      <c r="AJ120" s="1233">
        <f t="shared" si="651"/>
        <v>70894</v>
      </c>
      <c r="AK120" s="1233">
        <f t="shared" si="625"/>
        <v>81022</v>
      </c>
      <c r="AL120" s="1233">
        <f t="shared" si="600"/>
        <v>91149</v>
      </c>
      <c r="AM120" s="1233">
        <f t="shared" si="576"/>
        <v>101277</v>
      </c>
      <c r="AN120" s="1233">
        <f t="shared" si="553"/>
        <v>101277</v>
      </c>
      <c r="AO120" s="1233">
        <f t="shared" si="531"/>
        <v>101277</v>
      </c>
      <c r="AP120" s="1233">
        <f t="shared" si="510"/>
        <v>101277</v>
      </c>
      <c r="AQ120" s="1233">
        <f t="shared" si="490"/>
        <v>91149</v>
      </c>
      <c r="AR120" s="1233">
        <f t="shared" si="471"/>
        <v>81022</v>
      </c>
      <c r="AS120" s="1233">
        <f t="shared" si="453"/>
        <v>60766</v>
      </c>
      <c r="AT120" s="1233">
        <f t="shared" si="436"/>
        <v>40511</v>
      </c>
      <c r="AU120" s="1221">
        <v>0</v>
      </c>
      <c r="AV120" s="1221">
        <v>0</v>
      </c>
      <c r="AW120" s="1221">
        <v>0</v>
      </c>
      <c r="AX120" s="1233">
        <v>0</v>
      </c>
      <c r="AY120" s="1221">
        <v>0</v>
      </c>
      <c r="AZ120" s="1221">
        <v>0</v>
      </c>
      <c r="BA120" s="1221">
        <v>0</v>
      </c>
      <c r="BB120" s="1221">
        <v>0</v>
      </c>
      <c r="BC120" s="1221">
        <v>0</v>
      </c>
      <c r="BD120" s="1221">
        <v>0</v>
      </c>
      <c r="BE120" s="1221">
        <v>0</v>
      </c>
      <c r="BF120" s="1221">
        <v>0</v>
      </c>
      <c r="BG120" s="1221">
        <v>0</v>
      </c>
      <c r="BH120" s="1221">
        <v>0</v>
      </c>
      <c r="BI120" s="1221">
        <v>0</v>
      </c>
      <c r="BJ120" s="1221">
        <v>0</v>
      </c>
      <c r="BK120" s="1221">
        <v>0</v>
      </c>
      <c r="BL120" s="1221">
        <v>0</v>
      </c>
      <c r="BM120" s="1221">
        <v>0</v>
      </c>
      <c r="BN120" s="1221">
        <v>0</v>
      </c>
      <c r="BO120" s="1221">
        <v>0</v>
      </c>
      <c r="BP120" s="1184"/>
      <c r="BQ120" s="1184"/>
      <c r="BR120" s="1184"/>
      <c r="BS120" s="1184"/>
      <c r="BT120" s="1184"/>
      <c r="BU120" s="1184"/>
      <c r="BV120" s="1184"/>
      <c r="BW120" s="1184"/>
      <c r="BX120" s="1184"/>
      <c r="BY120" s="1184"/>
      <c r="BZ120" s="208"/>
      <c r="CA120" s="208"/>
      <c r="CB120" s="208"/>
      <c r="CC120" s="208"/>
      <c r="CD120" s="211"/>
    </row>
    <row r="121" ht="18" customHeight="1">
      <c r="A121" s="1272"/>
      <c r="B121" s="1217"/>
      <c r="C121" s="1217"/>
      <c r="D121" s="1217"/>
      <c r="E121" s="1217"/>
      <c r="F121" s="1217"/>
      <c r="G121" s="1217"/>
      <c r="H121" s="1217"/>
      <c r="I121" s="1217"/>
      <c r="J121" s="1217"/>
      <c r="K121" s="1217"/>
      <c r="L121" s="1217"/>
      <c r="M121" s="1217"/>
      <c r="N121" s="1217"/>
      <c r="O121" s="1221">
        <v>33</v>
      </c>
      <c r="P121" s="1233">
        <f t="shared" si="780" ref="P121:AE136">$F$58</f>
        <v>0</v>
      </c>
      <c r="Q121" s="1233">
        <f t="shared" si="749"/>
        <v>0</v>
      </c>
      <c r="R121" s="1233">
        <f t="shared" si="719"/>
        <v>0</v>
      </c>
      <c r="S121" s="1233">
        <f t="shared" si="690"/>
        <v>0</v>
      </c>
      <c r="T121" s="1233">
        <f t="shared" si="662"/>
        <v>0</v>
      </c>
      <c r="U121" s="1233">
        <f t="shared" si="635"/>
        <v>0</v>
      </c>
      <c r="V121" s="1233">
        <f t="shared" si="609"/>
        <v>0</v>
      </c>
      <c r="W121" s="1233">
        <f t="shared" si="584"/>
        <v>0</v>
      </c>
      <c r="X121" s="1233">
        <f t="shared" si="560"/>
        <v>0</v>
      </c>
      <c r="Y121" s="1233">
        <f t="shared" si="537"/>
        <v>0</v>
      </c>
      <c r="Z121" s="1233">
        <f t="shared" si="515"/>
        <v>0</v>
      </c>
      <c r="AA121" s="1233">
        <f t="shared" si="494"/>
        <v>0</v>
      </c>
      <c r="AB121" s="1233">
        <f t="shared" si="474"/>
        <v>0</v>
      </c>
      <c r="AC121" s="1233">
        <f t="shared" si="455"/>
        <v>0</v>
      </c>
      <c r="AD121" s="1233">
        <f t="shared" si="437"/>
        <v>0</v>
      </c>
      <c r="AE121" s="1233">
        <f t="shared" si="420"/>
        <v>0</v>
      </c>
      <c r="AF121" s="1233">
        <f t="shared" si="796" ref="AF121:AU136">$F$42</f>
        <v>0</v>
      </c>
      <c r="AG121" s="1233">
        <f t="shared" si="765"/>
        <v>0</v>
      </c>
      <c r="AH121" s="1233">
        <f t="shared" si="735"/>
        <v>0</v>
      </c>
      <c r="AI121" s="1233">
        <f t="shared" si="706"/>
        <v>0</v>
      </c>
      <c r="AJ121" s="1233">
        <f t="shared" si="678"/>
        <v>91149</v>
      </c>
      <c r="AK121" s="1233">
        <f t="shared" si="651"/>
        <v>70894</v>
      </c>
      <c r="AL121" s="1233">
        <f t="shared" si="625"/>
        <v>81022</v>
      </c>
      <c r="AM121" s="1233">
        <f t="shared" si="600"/>
        <v>91149</v>
      </c>
      <c r="AN121" s="1233">
        <f t="shared" si="576"/>
        <v>101277</v>
      </c>
      <c r="AO121" s="1233">
        <f t="shared" si="553"/>
        <v>101277</v>
      </c>
      <c r="AP121" s="1233">
        <f t="shared" si="531"/>
        <v>101277</v>
      </c>
      <c r="AQ121" s="1233">
        <f t="shared" si="510"/>
        <v>101277</v>
      </c>
      <c r="AR121" s="1233">
        <f t="shared" si="490"/>
        <v>91149</v>
      </c>
      <c r="AS121" s="1233">
        <f t="shared" si="471"/>
        <v>81022</v>
      </c>
      <c r="AT121" s="1233">
        <f t="shared" si="453"/>
        <v>60766</v>
      </c>
      <c r="AU121" s="1233">
        <f t="shared" si="436"/>
        <v>40511</v>
      </c>
      <c r="AV121" s="1221">
        <v>0</v>
      </c>
      <c r="AW121" s="1221">
        <v>0</v>
      </c>
      <c r="AX121" s="1233">
        <v>0</v>
      </c>
      <c r="AY121" s="1233">
        <v>0</v>
      </c>
      <c r="AZ121" s="1221">
        <v>0</v>
      </c>
      <c r="BA121" s="1221">
        <v>0</v>
      </c>
      <c r="BB121" s="1221">
        <v>0</v>
      </c>
      <c r="BC121" s="1221">
        <v>0</v>
      </c>
      <c r="BD121" s="1221">
        <v>0</v>
      </c>
      <c r="BE121" s="1221">
        <v>0</v>
      </c>
      <c r="BF121" s="1221">
        <v>0</v>
      </c>
      <c r="BG121" s="1221">
        <v>0</v>
      </c>
      <c r="BH121" s="1221">
        <v>0</v>
      </c>
      <c r="BI121" s="1221">
        <v>0</v>
      </c>
      <c r="BJ121" s="1221">
        <v>0</v>
      </c>
      <c r="BK121" s="1221">
        <v>0</v>
      </c>
      <c r="BL121" s="1221">
        <v>0</v>
      </c>
      <c r="BM121" s="1221">
        <v>0</v>
      </c>
      <c r="BN121" s="1221">
        <v>0</v>
      </c>
      <c r="BO121" s="1221">
        <v>0</v>
      </c>
      <c r="BP121" s="1184"/>
      <c r="BQ121" s="1184"/>
      <c r="BR121" s="1184"/>
      <c r="BS121" s="1184"/>
      <c r="BT121" s="1184"/>
      <c r="BU121" s="1184"/>
      <c r="BV121" s="1184"/>
      <c r="BW121" s="1184"/>
      <c r="BX121" s="1184"/>
      <c r="BY121" s="1184"/>
      <c r="BZ121" s="208"/>
      <c r="CA121" s="208"/>
      <c r="CB121" s="208"/>
      <c r="CC121" s="208"/>
      <c r="CD121" s="211"/>
    </row>
    <row r="122" ht="18" customHeight="1">
      <c r="A122" s="1272"/>
      <c r="B122" s="1217"/>
      <c r="C122" s="1217"/>
      <c r="D122" s="1217"/>
      <c r="E122" s="1217"/>
      <c r="F122" s="1217"/>
      <c r="G122" s="1217"/>
      <c r="H122" s="1217"/>
      <c r="I122" s="1217"/>
      <c r="J122" s="1217"/>
      <c r="K122" s="1217"/>
      <c r="L122" s="1217"/>
      <c r="M122" s="1217"/>
      <c r="N122" s="1217"/>
      <c r="O122" s="1221">
        <v>34</v>
      </c>
      <c r="P122" s="1233">
        <f t="shared" si="812" ref="P122:AE137">$F$59</f>
        <v>0</v>
      </c>
      <c r="Q122" s="1233">
        <f t="shared" si="780"/>
        <v>0</v>
      </c>
      <c r="R122" s="1233">
        <f t="shared" si="749"/>
        <v>0</v>
      </c>
      <c r="S122" s="1233">
        <f t="shared" si="719"/>
        <v>0</v>
      </c>
      <c r="T122" s="1233">
        <f t="shared" si="690"/>
        <v>0</v>
      </c>
      <c r="U122" s="1233">
        <f t="shared" si="662"/>
        <v>0</v>
      </c>
      <c r="V122" s="1233">
        <f t="shared" si="635"/>
        <v>0</v>
      </c>
      <c r="W122" s="1233">
        <f t="shared" si="609"/>
        <v>0</v>
      </c>
      <c r="X122" s="1233">
        <f t="shared" si="584"/>
        <v>0</v>
      </c>
      <c r="Y122" s="1233">
        <f t="shared" si="560"/>
        <v>0</v>
      </c>
      <c r="Z122" s="1233">
        <f t="shared" si="537"/>
        <v>0</v>
      </c>
      <c r="AA122" s="1233">
        <f t="shared" si="515"/>
        <v>0</v>
      </c>
      <c r="AB122" s="1233">
        <f t="shared" si="494"/>
        <v>0</v>
      </c>
      <c r="AC122" s="1233">
        <f t="shared" si="474"/>
        <v>0</v>
      </c>
      <c r="AD122" s="1233">
        <f t="shared" si="455"/>
        <v>0</v>
      </c>
      <c r="AE122" s="1233">
        <f t="shared" si="437"/>
        <v>0</v>
      </c>
      <c r="AF122" s="1233">
        <f t="shared" si="828" ref="AF122:AU137">$F$43</f>
        <v>0</v>
      </c>
      <c r="AG122" s="1233">
        <f t="shared" si="796"/>
        <v>0</v>
      </c>
      <c r="AH122" s="1233">
        <f t="shared" si="765"/>
        <v>0</v>
      </c>
      <c r="AI122" s="1233">
        <f t="shared" si="735"/>
        <v>0</v>
      </c>
      <c r="AJ122" s="1233">
        <f t="shared" si="706"/>
        <v>0</v>
      </c>
      <c r="AK122" s="1233">
        <f t="shared" si="678"/>
        <v>91149</v>
      </c>
      <c r="AL122" s="1233">
        <f t="shared" si="651"/>
        <v>70894</v>
      </c>
      <c r="AM122" s="1233">
        <f t="shared" si="625"/>
        <v>81022</v>
      </c>
      <c r="AN122" s="1233">
        <f t="shared" si="600"/>
        <v>91149</v>
      </c>
      <c r="AO122" s="1233">
        <f t="shared" si="576"/>
        <v>101277</v>
      </c>
      <c r="AP122" s="1233">
        <f t="shared" si="553"/>
        <v>101277</v>
      </c>
      <c r="AQ122" s="1233">
        <f t="shared" si="531"/>
        <v>101277</v>
      </c>
      <c r="AR122" s="1233">
        <f t="shared" si="510"/>
        <v>101277</v>
      </c>
      <c r="AS122" s="1233">
        <f t="shared" si="490"/>
        <v>91149</v>
      </c>
      <c r="AT122" s="1233">
        <f t="shared" si="471"/>
        <v>81022</v>
      </c>
      <c r="AU122" s="1233">
        <f t="shared" si="453"/>
        <v>60766</v>
      </c>
      <c r="AV122" s="1233">
        <f t="shared" si="844" ref="AV122:BK137">$F$27</f>
        <v>40511</v>
      </c>
      <c r="AW122" s="1221">
        <v>0</v>
      </c>
      <c r="AX122" s="1233">
        <v>0</v>
      </c>
      <c r="AY122" s="1233">
        <v>0</v>
      </c>
      <c r="AZ122" s="1233">
        <v>0</v>
      </c>
      <c r="BA122" s="1221">
        <v>0</v>
      </c>
      <c r="BB122" s="1221">
        <v>0</v>
      </c>
      <c r="BC122" s="1221">
        <v>0</v>
      </c>
      <c r="BD122" s="1221">
        <v>0</v>
      </c>
      <c r="BE122" s="1221">
        <v>0</v>
      </c>
      <c r="BF122" s="1221">
        <v>0</v>
      </c>
      <c r="BG122" s="1221">
        <v>0</v>
      </c>
      <c r="BH122" s="1221">
        <v>0</v>
      </c>
      <c r="BI122" s="1221">
        <v>0</v>
      </c>
      <c r="BJ122" s="1221">
        <v>0</v>
      </c>
      <c r="BK122" s="1221">
        <v>0</v>
      </c>
      <c r="BL122" s="1221">
        <v>0</v>
      </c>
      <c r="BM122" s="1221">
        <v>0</v>
      </c>
      <c r="BN122" s="1221">
        <v>0</v>
      </c>
      <c r="BO122" s="1221">
        <v>0</v>
      </c>
      <c r="BP122" s="1184"/>
      <c r="BQ122" s="1184"/>
      <c r="BR122" s="1184"/>
      <c r="BS122" s="1184"/>
      <c r="BT122" s="1184"/>
      <c r="BU122" s="1184"/>
      <c r="BV122" s="1184"/>
      <c r="BW122" s="1184"/>
      <c r="BX122" s="1184"/>
      <c r="BY122" s="1184"/>
      <c r="BZ122" s="208"/>
      <c r="CA122" s="208"/>
      <c r="CB122" s="208"/>
      <c r="CC122" s="208"/>
      <c r="CD122" s="211"/>
    </row>
    <row r="123" ht="18" customHeight="1">
      <c r="A123" s="1272"/>
      <c r="B123" s="1217"/>
      <c r="C123" s="1217"/>
      <c r="D123" s="1217"/>
      <c r="E123" s="1217"/>
      <c r="F123" s="1217"/>
      <c r="G123" s="1217"/>
      <c r="H123" s="1217"/>
      <c r="I123" s="1217"/>
      <c r="J123" s="1217"/>
      <c r="K123" s="1217"/>
      <c r="L123" s="1217"/>
      <c r="M123" s="1217"/>
      <c r="N123" s="1217"/>
      <c r="O123" s="1221">
        <v>35</v>
      </c>
      <c r="P123" s="1233">
        <f t="shared" si="845" ref="P123:AE138">$F$60</f>
        <v>0</v>
      </c>
      <c r="Q123" s="1233">
        <f t="shared" si="812"/>
        <v>0</v>
      </c>
      <c r="R123" s="1233">
        <f t="shared" si="780"/>
        <v>0</v>
      </c>
      <c r="S123" s="1233">
        <f t="shared" si="749"/>
        <v>0</v>
      </c>
      <c r="T123" s="1233">
        <f t="shared" si="719"/>
        <v>0</v>
      </c>
      <c r="U123" s="1233">
        <f t="shared" si="690"/>
        <v>0</v>
      </c>
      <c r="V123" s="1233">
        <f t="shared" si="662"/>
        <v>0</v>
      </c>
      <c r="W123" s="1233">
        <f t="shared" si="635"/>
        <v>0</v>
      </c>
      <c r="X123" s="1233">
        <f t="shared" si="609"/>
        <v>0</v>
      </c>
      <c r="Y123" s="1233">
        <f t="shared" si="584"/>
        <v>0</v>
      </c>
      <c r="Z123" s="1233">
        <f t="shared" si="560"/>
        <v>0</v>
      </c>
      <c r="AA123" s="1233">
        <f t="shared" si="537"/>
        <v>0</v>
      </c>
      <c r="AB123" s="1233">
        <f t="shared" si="515"/>
        <v>0</v>
      </c>
      <c r="AC123" s="1233">
        <f t="shared" si="494"/>
        <v>0</v>
      </c>
      <c r="AD123" s="1233">
        <f t="shared" si="474"/>
        <v>0</v>
      </c>
      <c r="AE123" s="1233">
        <f t="shared" si="455"/>
        <v>0</v>
      </c>
      <c r="AF123" s="1233">
        <f t="shared" si="861" ref="AF123:AU138">$F$44</f>
        <v>0</v>
      </c>
      <c r="AG123" s="1233">
        <f t="shared" si="828"/>
        <v>0</v>
      </c>
      <c r="AH123" s="1233">
        <f t="shared" si="796"/>
        <v>0</v>
      </c>
      <c r="AI123" s="1233">
        <f t="shared" si="765"/>
        <v>0</v>
      </c>
      <c r="AJ123" s="1233">
        <f t="shared" si="735"/>
        <v>0</v>
      </c>
      <c r="AK123" s="1233">
        <f t="shared" si="706"/>
        <v>0</v>
      </c>
      <c r="AL123" s="1233">
        <f t="shared" si="678"/>
        <v>91149</v>
      </c>
      <c r="AM123" s="1233">
        <f t="shared" si="651"/>
        <v>70894</v>
      </c>
      <c r="AN123" s="1233">
        <f t="shared" si="625"/>
        <v>81022</v>
      </c>
      <c r="AO123" s="1233">
        <f t="shared" si="600"/>
        <v>91149</v>
      </c>
      <c r="AP123" s="1233">
        <f t="shared" si="576"/>
        <v>101277</v>
      </c>
      <c r="AQ123" s="1233">
        <f t="shared" si="553"/>
        <v>101277</v>
      </c>
      <c r="AR123" s="1233">
        <f t="shared" si="531"/>
        <v>101277</v>
      </c>
      <c r="AS123" s="1233">
        <f t="shared" si="510"/>
        <v>101277</v>
      </c>
      <c r="AT123" s="1233">
        <f t="shared" si="490"/>
        <v>91149</v>
      </c>
      <c r="AU123" s="1233">
        <f t="shared" si="471"/>
        <v>81022</v>
      </c>
      <c r="AV123" s="1233">
        <f t="shared" si="877" ref="AV123:BK138">$F$28</f>
        <v>60766</v>
      </c>
      <c r="AW123" s="1233">
        <f t="shared" si="844"/>
        <v>40511</v>
      </c>
      <c r="AX123" s="1233">
        <v>0</v>
      </c>
      <c r="AY123" s="1233">
        <v>0</v>
      </c>
      <c r="AZ123" s="1233">
        <v>0</v>
      </c>
      <c r="BA123" s="1221">
        <v>0</v>
      </c>
      <c r="BB123" s="1221">
        <v>0</v>
      </c>
      <c r="BC123" s="1221">
        <v>0</v>
      </c>
      <c r="BD123" s="1221">
        <v>0</v>
      </c>
      <c r="BE123" s="1221">
        <v>0</v>
      </c>
      <c r="BF123" s="1221">
        <v>0</v>
      </c>
      <c r="BG123" s="1221">
        <v>0</v>
      </c>
      <c r="BH123" s="1221">
        <v>0</v>
      </c>
      <c r="BI123" s="1221">
        <v>0</v>
      </c>
      <c r="BJ123" s="1221">
        <v>0</v>
      </c>
      <c r="BK123" s="1221">
        <v>0</v>
      </c>
      <c r="BL123" s="1221">
        <v>0</v>
      </c>
      <c r="BM123" s="1221">
        <v>0</v>
      </c>
      <c r="BN123" s="1221">
        <v>0</v>
      </c>
      <c r="BO123" s="1221">
        <v>0</v>
      </c>
      <c r="BP123" s="1217"/>
      <c r="BQ123" s="1184"/>
      <c r="BR123" s="1184"/>
      <c r="BS123" s="1184"/>
      <c r="BT123" s="1184"/>
      <c r="BU123" s="1184"/>
      <c r="BV123" s="1184"/>
      <c r="BW123" s="1184"/>
      <c r="BX123" s="1184"/>
      <c r="BY123" s="1184"/>
      <c r="BZ123" s="208"/>
      <c r="CA123" s="208"/>
      <c r="CB123" s="208"/>
      <c r="CC123" s="208"/>
      <c r="CD123" s="211"/>
    </row>
    <row r="124" ht="18" customHeight="1">
      <c r="A124" s="1272"/>
      <c r="B124" s="1217"/>
      <c r="C124" s="1217"/>
      <c r="D124" s="1217"/>
      <c r="E124" s="1217"/>
      <c r="F124" s="1217"/>
      <c r="G124" s="1217"/>
      <c r="H124" s="1217"/>
      <c r="I124" s="1217"/>
      <c r="J124" s="1217"/>
      <c r="K124" s="1217"/>
      <c r="L124" s="1217"/>
      <c r="M124" s="1217"/>
      <c r="N124" s="1217"/>
      <c r="O124" s="1221">
        <v>36</v>
      </c>
      <c r="P124" s="1233">
        <f t="shared" si="879" ref="P124:AE139">$F$61</f>
        <v>0</v>
      </c>
      <c r="Q124" s="1233">
        <f t="shared" si="845"/>
        <v>0</v>
      </c>
      <c r="R124" s="1233">
        <f t="shared" si="812"/>
        <v>0</v>
      </c>
      <c r="S124" s="1233">
        <f t="shared" si="780"/>
        <v>0</v>
      </c>
      <c r="T124" s="1233">
        <f t="shared" si="749"/>
        <v>0</v>
      </c>
      <c r="U124" s="1233">
        <f t="shared" si="719"/>
        <v>0</v>
      </c>
      <c r="V124" s="1233">
        <f t="shared" si="690"/>
        <v>0</v>
      </c>
      <c r="W124" s="1233">
        <f t="shared" si="662"/>
        <v>0</v>
      </c>
      <c r="X124" s="1233">
        <f t="shared" si="635"/>
        <v>0</v>
      </c>
      <c r="Y124" s="1233">
        <f t="shared" si="609"/>
        <v>0</v>
      </c>
      <c r="Z124" s="1233">
        <f t="shared" si="584"/>
        <v>0</v>
      </c>
      <c r="AA124" s="1233">
        <f t="shared" si="560"/>
        <v>0</v>
      </c>
      <c r="AB124" s="1233">
        <f t="shared" si="537"/>
        <v>0</v>
      </c>
      <c r="AC124" s="1233">
        <f t="shared" si="515"/>
        <v>0</v>
      </c>
      <c r="AD124" s="1233">
        <f t="shared" si="494"/>
        <v>0</v>
      </c>
      <c r="AE124" s="1233">
        <f t="shared" si="474"/>
        <v>0</v>
      </c>
      <c r="AF124" s="1233">
        <f t="shared" si="895" ref="AF124:AU139">$F$45</f>
        <v>0</v>
      </c>
      <c r="AG124" s="1233">
        <f t="shared" si="861"/>
        <v>0</v>
      </c>
      <c r="AH124" s="1233">
        <f t="shared" si="828"/>
        <v>0</v>
      </c>
      <c r="AI124" s="1233">
        <f t="shared" si="796"/>
        <v>0</v>
      </c>
      <c r="AJ124" s="1233">
        <f t="shared" si="765"/>
        <v>0</v>
      </c>
      <c r="AK124" s="1233">
        <f t="shared" si="735"/>
        <v>0</v>
      </c>
      <c r="AL124" s="1233">
        <f t="shared" si="706"/>
        <v>0</v>
      </c>
      <c r="AM124" s="1233">
        <f t="shared" si="678"/>
        <v>91149</v>
      </c>
      <c r="AN124" s="1233">
        <f t="shared" si="651"/>
        <v>70894</v>
      </c>
      <c r="AO124" s="1233">
        <f t="shared" si="625"/>
        <v>81022</v>
      </c>
      <c r="AP124" s="1233">
        <f t="shared" si="600"/>
        <v>91149</v>
      </c>
      <c r="AQ124" s="1233">
        <f t="shared" si="576"/>
        <v>101277</v>
      </c>
      <c r="AR124" s="1233">
        <f t="shared" si="553"/>
        <v>101277</v>
      </c>
      <c r="AS124" s="1233">
        <f t="shared" si="531"/>
        <v>101277</v>
      </c>
      <c r="AT124" s="1233">
        <f t="shared" si="510"/>
        <v>101277</v>
      </c>
      <c r="AU124" s="1233">
        <f t="shared" si="490"/>
        <v>91149</v>
      </c>
      <c r="AV124" s="1233">
        <f t="shared" si="911" ref="AV124:BK139">$F$29</f>
        <v>81022</v>
      </c>
      <c r="AW124" s="1233">
        <f t="shared" si="877"/>
        <v>60766</v>
      </c>
      <c r="AX124" s="1233">
        <f t="shared" si="844"/>
        <v>40511</v>
      </c>
      <c r="AY124" s="1233">
        <v>0</v>
      </c>
      <c r="AZ124" s="1233">
        <v>0</v>
      </c>
      <c r="BA124" s="1221">
        <v>0</v>
      </c>
      <c r="BB124" s="1221">
        <v>0</v>
      </c>
      <c r="BC124" s="1221">
        <v>0</v>
      </c>
      <c r="BD124" s="1221">
        <v>0</v>
      </c>
      <c r="BE124" s="1221">
        <v>0</v>
      </c>
      <c r="BF124" s="1221">
        <v>0</v>
      </c>
      <c r="BG124" s="1221">
        <v>0</v>
      </c>
      <c r="BH124" s="1221">
        <v>0</v>
      </c>
      <c r="BI124" s="1221">
        <v>0</v>
      </c>
      <c r="BJ124" s="1221">
        <v>0</v>
      </c>
      <c r="BK124" s="1221">
        <v>0</v>
      </c>
      <c r="BL124" s="1221">
        <v>0</v>
      </c>
      <c r="BM124" s="1221">
        <v>0</v>
      </c>
      <c r="BN124" s="1221">
        <v>0</v>
      </c>
      <c r="BO124" s="1221">
        <v>0</v>
      </c>
      <c r="BP124" s="1217"/>
      <c r="BQ124" s="1217"/>
      <c r="BR124" s="1184"/>
      <c r="BS124" s="1184"/>
      <c r="BT124" s="1184"/>
      <c r="BU124" s="1184"/>
      <c r="BV124" s="1184"/>
      <c r="BW124" s="1184"/>
      <c r="BX124" s="1184"/>
      <c r="BY124" s="1184"/>
      <c r="BZ124" s="208"/>
      <c r="CA124" s="208"/>
      <c r="CB124" s="208"/>
      <c r="CC124" s="208"/>
      <c r="CD124" s="211"/>
    </row>
    <row r="125" ht="18" customHeight="1">
      <c r="A125" s="1272"/>
      <c r="B125" s="1217"/>
      <c r="C125" s="1217"/>
      <c r="D125" s="1217"/>
      <c r="E125" s="1217"/>
      <c r="F125" s="1217"/>
      <c r="G125" s="1217"/>
      <c r="H125" s="1217"/>
      <c r="I125" s="1217"/>
      <c r="J125" s="1217"/>
      <c r="K125" s="1217"/>
      <c r="L125" s="1217"/>
      <c r="M125" s="1217"/>
      <c r="N125" s="1217"/>
      <c r="O125" s="1221">
        <v>37</v>
      </c>
      <c r="P125" s="1233">
        <f t="shared" si="914" ref="P125:AE140">$F$62</f>
        <v>0</v>
      </c>
      <c r="Q125" s="1233">
        <f t="shared" si="879"/>
        <v>0</v>
      </c>
      <c r="R125" s="1233">
        <f t="shared" si="845"/>
        <v>0</v>
      </c>
      <c r="S125" s="1233">
        <f t="shared" si="812"/>
        <v>0</v>
      </c>
      <c r="T125" s="1233">
        <f t="shared" si="780"/>
        <v>0</v>
      </c>
      <c r="U125" s="1233">
        <f t="shared" si="749"/>
        <v>0</v>
      </c>
      <c r="V125" s="1233">
        <f t="shared" si="719"/>
        <v>0</v>
      </c>
      <c r="W125" s="1233">
        <f t="shared" si="690"/>
        <v>0</v>
      </c>
      <c r="X125" s="1233">
        <f t="shared" si="662"/>
        <v>0</v>
      </c>
      <c r="Y125" s="1233">
        <f t="shared" si="635"/>
        <v>0</v>
      </c>
      <c r="Z125" s="1233">
        <f t="shared" si="609"/>
        <v>0</v>
      </c>
      <c r="AA125" s="1233">
        <f t="shared" si="584"/>
        <v>0</v>
      </c>
      <c r="AB125" s="1233">
        <f t="shared" si="560"/>
        <v>0</v>
      </c>
      <c r="AC125" s="1233">
        <f t="shared" si="537"/>
        <v>0</v>
      </c>
      <c r="AD125" s="1233">
        <f t="shared" si="515"/>
        <v>0</v>
      </c>
      <c r="AE125" s="1233">
        <f t="shared" si="494"/>
        <v>0</v>
      </c>
      <c r="AF125" s="1233">
        <f t="shared" si="930" ref="AF125:AU140">$F$46</f>
        <v>0</v>
      </c>
      <c r="AG125" s="1233">
        <f t="shared" si="895"/>
        <v>0</v>
      </c>
      <c r="AH125" s="1233">
        <f t="shared" si="861"/>
        <v>0</v>
      </c>
      <c r="AI125" s="1233">
        <f t="shared" si="828"/>
        <v>0</v>
      </c>
      <c r="AJ125" s="1233">
        <f t="shared" si="796"/>
        <v>0</v>
      </c>
      <c r="AK125" s="1233">
        <f t="shared" si="765"/>
        <v>0</v>
      </c>
      <c r="AL125" s="1233">
        <f t="shared" si="735"/>
        <v>0</v>
      </c>
      <c r="AM125" s="1233">
        <f t="shared" si="706"/>
        <v>0</v>
      </c>
      <c r="AN125" s="1233">
        <f t="shared" si="678"/>
        <v>91149</v>
      </c>
      <c r="AO125" s="1233">
        <f t="shared" si="651"/>
        <v>70894</v>
      </c>
      <c r="AP125" s="1233">
        <f t="shared" si="625"/>
        <v>81022</v>
      </c>
      <c r="AQ125" s="1233">
        <f t="shared" si="600"/>
        <v>91149</v>
      </c>
      <c r="AR125" s="1233">
        <f t="shared" si="576"/>
        <v>101277</v>
      </c>
      <c r="AS125" s="1233">
        <f t="shared" si="553"/>
        <v>101277</v>
      </c>
      <c r="AT125" s="1233">
        <f t="shared" si="531"/>
        <v>101277</v>
      </c>
      <c r="AU125" s="1233">
        <f t="shared" si="510"/>
        <v>101277</v>
      </c>
      <c r="AV125" s="1233">
        <f t="shared" si="946" ref="AV125:BK140">$F$30</f>
        <v>91149</v>
      </c>
      <c r="AW125" s="1233">
        <f t="shared" si="911"/>
        <v>81022</v>
      </c>
      <c r="AX125" s="1233">
        <f t="shared" si="877"/>
        <v>60766</v>
      </c>
      <c r="AY125" s="1233">
        <f t="shared" si="844"/>
        <v>40511</v>
      </c>
      <c r="AZ125" s="1233">
        <v>0</v>
      </c>
      <c r="BA125" s="1221">
        <v>0</v>
      </c>
      <c r="BB125" s="1221">
        <v>0</v>
      </c>
      <c r="BC125" s="1221">
        <v>0</v>
      </c>
      <c r="BD125" s="1221">
        <v>0</v>
      </c>
      <c r="BE125" s="1221">
        <v>0</v>
      </c>
      <c r="BF125" s="1221">
        <v>0</v>
      </c>
      <c r="BG125" s="1221">
        <v>0</v>
      </c>
      <c r="BH125" s="1221">
        <v>0</v>
      </c>
      <c r="BI125" s="1221">
        <v>0</v>
      </c>
      <c r="BJ125" s="1221">
        <v>0</v>
      </c>
      <c r="BK125" s="1221">
        <v>0</v>
      </c>
      <c r="BL125" s="1221">
        <v>0</v>
      </c>
      <c r="BM125" s="1221">
        <v>0</v>
      </c>
      <c r="BN125" s="1221">
        <v>0</v>
      </c>
      <c r="BO125" s="1221">
        <v>0</v>
      </c>
      <c r="BP125" s="1217"/>
      <c r="BQ125" s="1217"/>
      <c r="BR125" s="1217"/>
      <c r="BS125" s="1184"/>
      <c r="BT125" s="1184"/>
      <c r="BU125" s="1184"/>
      <c r="BV125" s="1184"/>
      <c r="BW125" s="1184"/>
      <c r="BX125" s="1184"/>
      <c r="BY125" s="1184"/>
      <c r="BZ125" s="208"/>
      <c r="CA125" s="208"/>
      <c r="CB125" s="208"/>
      <c r="CC125" s="208"/>
      <c r="CD125" s="211"/>
    </row>
    <row r="126" ht="18" customHeight="1">
      <c r="A126" s="1272"/>
      <c r="B126" s="1217"/>
      <c r="C126" s="1217"/>
      <c r="D126" s="1217"/>
      <c r="E126" s="1217"/>
      <c r="F126" s="1217"/>
      <c r="G126" s="1217"/>
      <c r="H126" s="1217"/>
      <c r="I126" s="1217"/>
      <c r="J126" s="1217"/>
      <c r="K126" s="1217"/>
      <c r="L126" s="1217"/>
      <c r="M126" s="1217"/>
      <c r="N126" s="1217"/>
      <c r="O126" s="1221">
        <v>38</v>
      </c>
      <c r="P126" s="1233">
        <v>0</v>
      </c>
      <c r="Q126" s="1233">
        <f t="shared" si="914"/>
        <v>0</v>
      </c>
      <c r="R126" s="1233">
        <f t="shared" si="879"/>
        <v>0</v>
      </c>
      <c r="S126" s="1233">
        <f t="shared" si="845"/>
        <v>0</v>
      </c>
      <c r="T126" s="1233">
        <f t="shared" si="812"/>
        <v>0</v>
      </c>
      <c r="U126" s="1233">
        <f t="shared" si="780"/>
        <v>0</v>
      </c>
      <c r="V126" s="1233">
        <f t="shared" si="749"/>
        <v>0</v>
      </c>
      <c r="W126" s="1233">
        <f t="shared" si="719"/>
        <v>0</v>
      </c>
      <c r="X126" s="1233">
        <f t="shared" si="690"/>
        <v>0</v>
      </c>
      <c r="Y126" s="1233">
        <f t="shared" si="662"/>
        <v>0</v>
      </c>
      <c r="Z126" s="1233">
        <f t="shared" si="635"/>
        <v>0</v>
      </c>
      <c r="AA126" s="1233">
        <f t="shared" si="609"/>
        <v>0</v>
      </c>
      <c r="AB126" s="1233">
        <f t="shared" si="584"/>
        <v>0</v>
      </c>
      <c r="AC126" s="1233">
        <f t="shared" si="560"/>
        <v>0</v>
      </c>
      <c r="AD126" s="1233">
        <f t="shared" si="537"/>
        <v>0</v>
      </c>
      <c r="AE126" s="1233">
        <f t="shared" si="515"/>
        <v>0</v>
      </c>
      <c r="AF126" s="1233">
        <f t="shared" si="965" ref="AF126:AU141">$F$47</f>
        <v>0</v>
      </c>
      <c r="AG126" s="1233">
        <f t="shared" si="930"/>
        <v>0</v>
      </c>
      <c r="AH126" s="1233">
        <f t="shared" si="895"/>
        <v>0</v>
      </c>
      <c r="AI126" s="1233">
        <f t="shared" si="861"/>
        <v>0</v>
      </c>
      <c r="AJ126" s="1233">
        <f t="shared" si="828"/>
        <v>0</v>
      </c>
      <c r="AK126" s="1233">
        <f t="shared" si="796"/>
        <v>0</v>
      </c>
      <c r="AL126" s="1233">
        <f t="shared" si="765"/>
        <v>0</v>
      </c>
      <c r="AM126" s="1233">
        <f t="shared" si="735"/>
        <v>0</v>
      </c>
      <c r="AN126" s="1233">
        <f t="shared" si="706"/>
        <v>0</v>
      </c>
      <c r="AO126" s="1233">
        <f t="shared" si="678"/>
        <v>91149</v>
      </c>
      <c r="AP126" s="1233">
        <f t="shared" si="651"/>
        <v>70894</v>
      </c>
      <c r="AQ126" s="1233">
        <f t="shared" si="625"/>
        <v>81022</v>
      </c>
      <c r="AR126" s="1233">
        <f t="shared" si="600"/>
        <v>91149</v>
      </c>
      <c r="AS126" s="1233">
        <f t="shared" si="576"/>
        <v>101277</v>
      </c>
      <c r="AT126" s="1233">
        <f t="shared" si="553"/>
        <v>101277</v>
      </c>
      <c r="AU126" s="1233">
        <f t="shared" si="531"/>
        <v>101277</v>
      </c>
      <c r="AV126" s="1233">
        <f t="shared" si="981" ref="AV126:BK141">$F$31</f>
        <v>101277</v>
      </c>
      <c r="AW126" s="1233">
        <f t="shared" si="946"/>
        <v>91149</v>
      </c>
      <c r="AX126" s="1233">
        <f t="shared" si="911"/>
        <v>81022</v>
      </c>
      <c r="AY126" s="1233">
        <f t="shared" si="877"/>
        <v>60766</v>
      </c>
      <c r="AZ126" s="1233">
        <f t="shared" si="844"/>
        <v>40511</v>
      </c>
      <c r="BA126" s="1221">
        <v>0</v>
      </c>
      <c r="BB126" s="1221">
        <v>0</v>
      </c>
      <c r="BC126" s="1221">
        <v>0</v>
      </c>
      <c r="BD126" s="1221">
        <v>0</v>
      </c>
      <c r="BE126" s="1221">
        <v>0</v>
      </c>
      <c r="BF126" s="1221">
        <v>0</v>
      </c>
      <c r="BG126" s="1221">
        <v>0</v>
      </c>
      <c r="BH126" s="1221">
        <v>0</v>
      </c>
      <c r="BI126" s="1221">
        <v>0</v>
      </c>
      <c r="BJ126" s="1221">
        <v>0</v>
      </c>
      <c r="BK126" s="1221">
        <v>0</v>
      </c>
      <c r="BL126" s="1221">
        <v>0</v>
      </c>
      <c r="BM126" s="1221">
        <v>0</v>
      </c>
      <c r="BN126" s="1221">
        <v>0</v>
      </c>
      <c r="BO126" s="1221">
        <v>0</v>
      </c>
      <c r="BP126" s="1217"/>
      <c r="BQ126" s="1217"/>
      <c r="BR126" s="1217"/>
      <c r="BS126" s="1217"/>
      <c r="BT126" s="1184"/>
      <c r="BU126" s="1184"/>
      <c r="BV126" s="1184"/>
      <c r="BW126" s="1184"/>
      <c r="BX126" s="1184"/>
      <c r="BY126" s="1184"/>
      <c r="BZ126" s="208"/>
      <c r="CA126" s="208"/>
      <c r="CB126" s="208"/>
      <c r="CC126" s="208"/>
      <c r="CD126" s="211"/>
    </row>
    <row r="127" ht="18" customHeight="1">
      <c r="A127" s="1272"/>
      <c r="B127" s="1217"/>
      <c r="C127" s="1217"/>
      <c r="D127" s="1217"/>
      <c r="E127" s="1217"/>
      <c r="F127" s="1217"/>
      <c r="G127" s="1217"/>
      <c r="H127" s="1217"/>
      <c r="I127" s="1217"/>
      <c r="J127" s="1217"/>
      <c r="K127" s="1217"/>
      <c r="L127" s="1217"/>
      <c r="M127" s="1217"/>
      <c r="N127" s="1217"/>
      <c r="O127" s="1221">
        <v>39</v>
      </c>
      <c r="P127" s="1233">
        <v>0</v>
      </c>
      <c r="Q127" s="1233">
        <v>0</v>
      </c>
      <c r="R127" s="1233">
        <f t="shared" si="914"/>
        <v>0</v>
      </c>
      <c r="S127" s="1233">
        <f t="shared" si="879"/>
        <v>0</v>
      </c>
      <c r="T127" s="1233">
        <f t="shared" si="845"/>
        <v>0</v>
      </c>
      <c r="U127" s="1233">
        <f t="shared" si="812"/>
        <v>0</v>
      </c>
      <c r="V127" s="1233">
        <f t="shared" si="780"/>
        <v>0</v>
      </c>
      <c r="W127" s="1233">
        <f t="shared" si="749"/>
        <v>0</v>
      </c>
      <c r="X127" s="1233">
        <f t="shared" si="719"/>
        <v>0</v>
      </c>
      <c r="Y127" s="1233">
        <f t="shared" si="690"/>
        <v>0</v>
      </c>
      <c r="Z127" s="1233">
        <f t="shared" si="662"/>
        <v>0</v>
      </c>
      <c r="AA127" s="1233">
        <f t="shared" si="635"/>
        <v>0</v>
      </c>
      <c r="AB127" s="1233">
        <f t="shared" si="609"/>
        <v>0</v>
      </c>
      <c r="AC127" s="1233">
        <f t="shared" si="584"/>
        <v>0</v>
      </c>
      <c r="AD127" s="1233">
        <f t="shared" si="560"/>
        <v>0</v>
      </c>
      <c r="AE127" s="1233">
        <f t="shared" si="537"/>
        <v>0</v>
      </c>
      <c r="AF127" s="1233">
        <f t="shared" si="1000" ref="AF127:AU142">$F$48</f>
        <v>0</v>
      </c>
      <c r="AG127" s="1233">
        <f t="shared" si="965"/>
        <v>0</v>
      </c>
      <c r="AH127" s="1233">
        <f t="shared" si="930"/>
        <v>0</v>
      </c>
      <c r="AI127" s="1233">
        <f t="shared" si="895"/>
        <v>0</v>
      </c>
      <c r="AJ127" s="1233">
        <f t="shared" si="861"/>
        <v>0</v>
      </c>
      <c r="AK127" s="1233">
        <f t="shared" si="828"/>
        <v>0</v>
      </c>
      <c r="AL127" s="1233">
        <f t="shared" si="796"/>
        <v>0</v>
      </c>
      <c r="AM127" s="1233">
        <f t="shared" si="765"/>
        <v>0</v>
      </c>
      <c r="AN127" s="1233">
        <f t="shared" si="735"/>
        <v>0</v>
      </c>
      <c r="AO127" s="1233">
        <f t="shared" si="706"/>
        <v>0</v>
      </c>
      <c r="AP127" s="1233">
        <f t="shared" si="678"/>
        <v>91149</v>
      </c>
      <c r="AQ127" s="1233">
        <f t="shared" si="651"/>
        <v>70894</v>
      </c>
      <c r="AR127" s="1233">
        <f t="shared" si="625"/>
        <v>81022</v>
      </c>
      <c r="AS127" s="1233">
        <f t="shared" si="600"/>
        <v>91149</v>
      </c>
      <c r="AT127" s="1233">
        <f t="shared" si="576"/>
        <v>101277</v>
      </c>
      <c r="AU127" s="1233">
        <f t="shared" si="553"/>
        <v>101277</v>
      </c>
      <c r="AV127" s="1233">
        <f t="shared" si="1016" ref="AV127:BK142">$F$32</f>
        <v>101277</v>
      </c>
      <c r="AW127" s="1233">
        <f t="shared" si="981"/>
        <v>101277</v>
      </c>
      <c r="AX127" s="1233">
        <f t="shared" si="946"/>
        <v>91149</v>
      </c>
      <c r="AY127" s="1233">
        <f t="shared" si="911"/>
        <v>81022</v>
      </c>
      <c r="AZ127" s="1233">
        <f t="shared" si="877"/>
        <v>60766</v>
      </c>
      <c r="BA127" s="1233">
        <f t="shared" si="844"/>
        <v>40511</v>
      </c>
      <c r="BB127" s="1221">
        <v>0</v>
      </c>
      <c r="BC127" s="1221">
        <v>0</v>
      </c>
      <c r="BD127" s="1221">
        <v>0</v>
      </c>
      <c r="BE127" s="1221">
        <v>0</v>
      </c>
      <c r="BF127" s="1221">
        <v>0</v>
      </c>
      <c r="BG127" s="1221">
        <v>0</v>
      </c>
      <c r="BH127" s="1221">
        <v>0</v>
      </c>
      <c r="BI127" s="1221">
        <v>0</v>
      </c>
      <c r="BJ127" s="1221">
        <v>0</v>
      </c>
      <c r="BK127" s="1221">
        <v>0</v>
      </c>
      <c r="BL127" s="1221">
        <v>0</v>
      </c>
      <c r="BM127" s="1221">
        <v>0</v>
      </c>
      <c r="BN127" s="1221">
        <v>0</v>
      </c>
      <c r="BO127" s="1221">
        <v>0</v>
      </c>
      <c r="BP127" s="1217"/>
      <c r="BQ127" s="1217"/>
      <c r="BR127" s="1217"/>
      <c r="BS127" s="1217"/>
      <c r="BT127" s="1217"/>
      <c r="BU127" s="1184"/>
      <c r="BV127" s="1184"/>
      <c r="BW127" s="1184"/>
      <c r="BX127" s="1184"/>
      <c r="BY127" s="1184"/>
      <c r="BZ127" s="208"/>
      <c r="CA127" s="208"/>
      <c r="CB127" s="208"/>
      <c r="CC127" s="208"/>
      <c r="CD127" s="211"/>
    </row>
    <row r="128" ht="18" customHeight="1">
      <c r="A128" s="1272"/>
      <c r="B128" s="1217"/>
      <c r="C128" s="1217"/>
      <c r="D128" s="1217"/>
      <c r="E128" s="1217"/>
      <c r="F128" s="1217"/>
      <c r="G128" s="1217"/>
      <c r="H128" s="1217"/>
      <c r="I128" s="1217"/>
      <c r="J128" s="1217"/>
      <c r="K128" s="1217"/>
      <c r="L128" s="1217"/>
      <c r="M128" s="1217"/>
      <c r="N128" s="1217"/>
      <c r="O128" s="1221">
        <v>40</v>
      </c>
      <c r="P128" s="1233">
        <v>0</v>
      </c>
      <c r="Q128" s="1233">
        <v>0</v>
      </c>
      <c r="R128" s="1233">
        <v>0</v>
      </c>
      <c r="S128" s="1233">
        <f t="shared" si="914"/>
        <v>0</v>
      </c>
      <c r="T128" s="1233">
        <f t="shared" si="879"/>
        <v>0</v>
      </c>
      <c r="U128" s="1233">
        <f t="shared" si="845"/>
        <v>0</v>
      </c>
      <c r="V128" s="1233">
        <f t="shared" si="812"/>
        <v>0</v>
      </c>
      <c r="W128" s="1233">
        <f t="shared" si="780"/>
        <v>0</v>
      </c>
      <c r="X128" s="1233">
        <f t="shared" si="749"/>
        <v>0</v>
      </c>
      <c r="Y128" s="1233">
        <f t="shared" si="719"/>
        <v>0</v>
      </c>
      <c r="Z128" s="1233">
        <f t="shared" si="690"/>
        <v>0</v>
      </c>
      <c r="AA128" s="1233">
        <f t="shared" si="662"/>
        <v>0</v>
      </c>
      <c r="AB128" s="1233">
        <f t="shared" si="635"/>
        <v>0</v>
      </c>
      <c r="AC128" s="1233">
        <f t="shared" si="609"/>
        <v>0</v>
      </c>
      <c r="AD128" s="1233">
        <f t="shared" si="584"/>
        <v>0</v>
      </c>
      <c r="AE128" s="1233">
        <f t="shared" si="560"/>
        <v>0</v>
      </c>
      <c r="AF128" s="1233">
        <f t="shared" si="1035" ref="AF128:AU143">$F$49</f>
        <v>0</v>
      </c>
      <c r="AG128" s="1233">
        <f t="shared" si="1000"/>
        <v>0</v>
      </c>
      <c r="AH128" s="1233">
        <f t="shared" si="965"/>
        <v>0</v>
      </c>
      <c r="AI128" s="1233">
        <f t="shared" si="930"/>
        <v>0</v>
      </c>
      <c r="AJ128" s="1233">
        <f t="shared" si="895"/>
        <v>0</v>
      </c>
      <c r="AK128" s="1233">
        <f t="shared" si="861"/>
        <v>0</v>
      </c>
      <c r="AL128" s="1233">
        <f t="shared" si="828"/>
        <v>0</v>
      </c>
      <c r="AM128" s="1233">
        <f t="shared" si="796"/>
        <v>0</v>
      </c>
      <c r="AN128" s="1233">
        <f t="shared" si="765"/>
        <v>0</v>
      </c>
      <c r="AO128" s="1233">
        <f t="shared" si="735"/>
        <v>0</v>
      </c>
      <c r="AP128" s="1233">
        <f t="shared" si="706"/>
        <v>0</v>
      </c>
      <c r="AQ128" s="1233">
        <f t="shared" si="678"/>
        <v>91149</v>
      </c>
      <c r="AR128" s="1233">
        <f t="shared" si="651"/>
        <v>70894</v>
      </c>
      <c r="AS128" s="1233">
        <f t="shared" si="625"/>
        <v>81022</v>
      </c>
      <c r="AT128" s="1233">
        <f t="shared" si="600"/>
        <v>91149</v>
      </c>
      <c r="AU128" s="1233">
        <f t="shared" si="576"/>
        <v>101277</v>
      </c>
      <c r="AV128" s="1233">
        <f t="shared" si="1051" ref="AV128:BK143">$F$33</f>
        <v>101277</v>
      </c>
      <c r="AW128" s="1233">
        <f t="shared" si="1016"/>
        <v>101277</v>
      </c>
      <c r="AX128" s="1233">
        <f t="shared" si="981"/>
        <v>101277</v>
      </c>
      <c r="AY128" s="1233">
        <f t="shared" si="946"/>
        <v>91149</v>
      </c>
      <c r="AZ128" s="1233">
        <f t="shared" si="911"/>
        <v>81022</v>
      </c>
      <c r="BA128" s="1233">
        <f t="shared" si="877"/>
        <v>60766</v>
      </c>
      <c r="BB128" s="1233">
        <f t="shared" si="844"/>
        <v>40511</v>
      </c>
      <c r="BC128" s="1221">
        <v>0</v>
      </c>
      <c r="BD128" s="1221">
        <v>0</v>
      </c>
      <c r="BE128" s="1221">
        <v>0</v>
      </c>
      <c r="BF128" s="1221">
        <v>0</v>
      </c>
      <c r="BG128" s="1221">
        <v>0</v>
      </c>
      <c r="BH128" s="1221">
        <v>0</v>
      </c>
      <c r="BI128" s="1221">
        <v>0</v>
      </c>
      <c r="BJ128" s="1221">
        <v>0</v>
      </c>
      <c r="BK128" s="1221">
        <v>0</v>
      </c>
      <c r="BL128" s="1221">
        <v>0</v>
      </c>
      <c r="BM128" s="1221">
        <v>0</v>
      </c>
      <c r="BN128" s="1221">
        <v>0</v>
      </c>
      <c r="BO128" s="1221">
        <v>0</v>
      </c>
      <c r="BP128" s="1217"/>
      <c r="BQ128" s="1217"/>
      <c r="BR128" s="1217"/>
      <c r="BS128" s="1217"/>
      <c r="BT128" s="1217"/>
      <c r="BU128" s="1217"/>
      <c r="BV128" s="1184"/>
      <c r="BW128" s="1184"/>
      <c r="BX128" s="1184"/>
      <c r="BY128" s="1184"/>
      <c r="BZ128" s="208"/>
      <c r="CA128" s="208"/>
      <c r="CB128" s="208"/>
      <c r="CC128" s="208"/>
      <c r="CD128" s="211"/>
    </row>
    <row r="129" ht="18" customHeight="1">
      <c r="A129" s="1272"/>
      <c r="B129" s="1217"/>
      <c r="C129" s="1217"/>
      <c r="D129" s="1217"/>
      <c r="E129" s="1217"/>
      <c r="F129" s="1217"/>
      <c r="G129" s="1217"/>
      <c r="H129" s="1217"/>
      <c r="I129" s="1217"/>
      <c r="J129" s="1217"/>
      <c r="K129" s="1217"/>
      <c r="L129" s="1217"/>
      <c r="M129" s="1217"/>
      <c r="N129" s="1217"/>
      <c r="O129" s="1221">
        <v>41</v>
      </c>
      <c r="P129" s="1233">
        <v>0</v>
      </c>
      <c r="Q129" s="1233">
        <v>0</v>
      </c>
      <c r="R129" s="1233">
        <v>0</v>
      </c>
      <c r="S129" s="1233">
        <v>0</v>
      </c>
      <c r="T129" s="1233">
        <f t="shared" si="914"/>
        <v>0</v>
      </c>
      <c r="U129" s="1233">
        <f t="shared" si="879"/>
        <v>0</v>
      </c>
      <c r="V129" s="1233">
        <f t="shared" si="845"/>
        <v>0</v>
      </c>
      <c r="W129" s="1233">
        <f t="shared" si="812"/>
        <v>0</v>
      </c>
      <c r="X129" s="1233">
        <f t="shared" si="780"/>
        <v>0</v>
      </c>
      <c r="Y129" s="1233">
        <f t="shared" si="749"/>
        <v>0</v>
      </c>
      <c r="Z129" s="1233">
        <f t="shared" si="719"/>
        <v>0</v>
      </c>
      <c r="AA129" s="1233">
        <f t="shared" si="690"/>
        <v>0</v>
      </c>
      <c r="AB129" s="1233">
        <f t="shared" si="662"/>
        <v>0</v>
      </c>
      <c r="AC129" s="1233">
        <f t="shared" si="635"/>
        <v>0</v>
      </c>
      <c r="AD129" s="1233">
        <f t="shared" si="609"/>
        <v>0</v>
      </c>
      <c r="AE129" s="1233">
        <f t="shared" si="584"/>
        <v>0</v>
      </c>
      <c r="AF129" s="1233">
        <f t="shared" si="1070" ref="AF129:AU144">$F$50</f>
        <v>0</v>
      </c>
      <c r="AG129" s="1233">
        <f t="shared" si="1035"/>
        <v>0</v>
      </c>
      <c r="AH129" s="1233">
        <f t="shared" si="1000"/>
        <v>0</v>
      </c>
      <c r="AI129" s="1233">
        <f t="shared" si="965"/>
        <v>0</v>
      </c>
      <c r="AJ129" s="1233">
        <f t="shared" si="930"/>
        <v>0</v>
      </c>
      <c r="AK129" s="1233">
        <f t="shared" si="895"/>
        <v>0</v>
      </c>
      <c r="AL129" s="1233">
        <f t="shared" si="861"/>
        <v>0</v>
      </c>
      <c r="AM129" s="1233">
        <f t="shared" si="828"/>
        <v>0</v>
      </c>
      <c r="AN129" s="1233">
        <f t="shared" si="796"/>
        <v>0</v>
      </c>
      <c r="AO129" s="1233">
        <f t="shared" si="765"/>
        <v>0</v>
      </c>
      <c r="AP129" s="1233">
        <f t="shared" si="735"/>
        <v>0</v>
      </c>
      <c r="AQ129" s="1233">
        <f t="shared" si="706"/>
        <v>0</v>
      </c>
      <c r="AR129" s="1233">
        <f t="shared" si="678"/>
        <v>91149</v>
      </c>
      <c r="AS129" s="1233">
        <f t="shared" si="651"/>
        <v>70894</v>
      </c>
      <c r="AT129" s="1233">
        <f t="shared" si="625"/>
        <v>81022</v>
      </c>
      <c r="AU129" s="1233">
        <f t="shared" si="600"/>
        <v>91149</v>
      </c>
      <c r="AV129" s="1233">
        <f t="shared" si="1086" ref="AV129:BK144">$F$34</f>
        <v>101277</v>
      </c>
      <c r="AW129" s="1233">
        <f t="shared" si="1051"/>
        <v>101277</v>
      </c>
      <c r="AX129" s="1233">
        <f t="shared" si="1016"/>
        <v>101277</v>
      </c>
      <c r="AY129" s="1233">
        <f t="shared" si="981"/>
        <v>101277</v>
      </c>
      <c r="AZ129" s="1233">
        <f t="shared" si="946"/>
        <v>91149</v>
      </c>
      <c r="BA129" s="1233">
        <f t="shared" si="911"/>
        <v>81022</v>
      </c>
      <c r="BB129" s="1233">
        <f t="shared" si="877"/>
        <v>60766</v>
      </c>
      <c r="BC129" s="1233">
        <f t="shared" si="844"/>
        <v>40511</v>
      </c>
      <c r="BD129" s="1221">
        <v>0</v>
      </c>
      <c r="BE129" s="1221">
        <v>0</v>
      </c>
      <c r="BF129" s="1221">
        <v>0</v>
      </c>
      <c r="BG129" s="1221">
        <v>0</v>
      </c>
      <c r="BH129" s="1221">
        <v>0</v>
      </c>
      <c r="BI129" s="1221">
        <v>0</v>
      </c>
      <c r="BJ129" s="1221">
        <v>0</v>
      </c>
      <c r="BK129" s="1221">
        <v>0</v>
      </c>
      <c r="BL129" s="1221">
        <v>0</v>
      </c>
      <c r="BM129" s="1221">
        <v>0</v>
      </c>
      <c r="BN129" s="1221">
        <v>0</v>
      </c>
      <c r="BO129" s="1221">
        <v>0</v>
      </c>
      <c r="BP129" s="1217"/>
      <c r="BQ129" s="1217"/>
      <c r="BR129" s="1217"/>
      <c r="BS129" s="1217"/>
      <c r="BT129" s="1217"/>
      <c r="BU129" s="1217"/>
      <c r="BV129" s="1217"/>
      <c r="BW129" s="1184"/>
      <c r="BX129" s="1184"/>
      <c r="BY129" s="1184"/>
      <c r="BZ129" s="208"/>
      <c r="CA129" s="208"/>
      <c r="CB129" s="208"/>
      <c r="CC129" s="208"/>
      <c r="CD129" s="211"/>
    </row>
    <row r="130" ht="18" customHeight="1">
      <c r="A130" s="1272"/>
      <c r="B130" s="1217"/>
      <c r="C130" s="1217"/>
      <c r="D130" s="1217"/>
      <c r="E130" s="1217"/>
      <c r="F130" s="1217"/>
      <c r="G130" s="1217"/>
      <c r="H130" s="1217"/>
      <c r="I130" s="1217"/>
      <c r="J130" s="1217"/>
      <c r="K130" s="1217"/>
      <c r="L130" s="1217"/>
      <c r="M130" s="1217"/>
      <c r="N130" s="1217"/>
      <c r="O130" s="1221">
        <v>42</v>
      </c>
      <c r="P130" s="1233">
        <v>0</v>
      </c>
      <c r="Q130" s="1233">
        <v>0</v>
      </c>
      <c r="R130" s="1233">
        <v>0</v>
      </c>
      <c r="S130" s="1233">
        <v>0</v>
      </c>
      <c r="T130" s="1233">
        <v>0</v>
      </c>
      <c r="U130" s="1233">
        <f t="shared" si="914"/>
        <v>0</v>
      </c>
      <c r="V130" s="1233">
        <f t="shared" si="879"/>
        <v>0</v>
      </c>
      <c r="W130" s="1233">
        <f t="shared" si="845"/>
        <v>0</v>
      </c>
      <c r="X130" s="1233">
        <f t="shared" si="812"/>
        <v>0</v>
      </c>
      <c r="Y130" s="1233">
        <f t="shared" si="780"/>
        <v>0</v>
      </c>
      <c r="Z130" s="1233">
        <f t="shared" si="749"/>
        <v>0</v>
      </c>
      <c r="AA130" s="1233">
        <f t="shared" si="719"/>
        <v>0</v>
      </c>
      <c r="AB130" s="1233">
        <f t="shared" si="690"/>
        <v>0</v>
      </c>
      <c r="AC130" s="1233">
        <f t="shared" si="662"/>
        <v>0</v>
      </c>
      <c r="AD130" s="1233">
        <f t="shared" si="635"/>
        <v>0</v>
      </c>
      <c r="AE130" s="1233">
        <f t="shared" si="609"/>
        <v>0</v>
      </c>
      <c r="AF130" s="1233">
        <f t="shared" si="1105" ref="AF130:AU145">$F$51</f>
        <v>0</v>
      </c>
      <c r="AG130" s="1233">
        <f t="shared" si="1070"/>
        <v>0</v>
      </c>
      <c r="AH130" s="1233">
        <f t="shared" si="1035"/>
        <v>0</v>
      </c>
      <c r="AI130" s="1233">
        <f t="shared" si="1000"/>
        <v>0</v>
      </c>
      <c r="AJ130" s="1233">
        <f t="shared" si="965"/>
        <v>0</v>
      </c>
      <c r="AK130" s="1233">
        <f t="shared" si="930"/>
        <v>0</v>
      </c>
      <c r="AL130" s="1233">
        <f t="shared" si="895"/>
        <v>0</v>
      </c>
      <c r="AM130" s="1233">
        <f t="shared" si="861"/>
        <v>0</v>
      </c>
      <c r="AN130" s="1233">
        <f t="shared" si="828"/>
        <v>0</v>
      </c>
      <c r="AO130" s="1233">
        <f t="shared" si="796"/>
        <v>0</v>
      </c>
      <c r="AP130" s="1233">
        <f t="shared" si="765"/>
        <v>0</v>
      </c>
      <c r="AQ130" s="1233">
        <f t="shared" si="735"/>
        <v>0</v>
      </c>
      <c r="AR130" s="1233">
        <f t="shared" si="706"/>
        <v>0</v>
      </c>
      <c r="AS130" s="1233">
        <f t="shared" si="678"/>
        <v>91149</v>
      </c>
      <c r="AT130" s="1233">
        <f t="shared" si="651"/>
        <v>70894</v>
      </c>
      <c r="AU130" s="1233">
        <f t="shared" si="625"/>
        <v>81022</v>
      </c>
      <c r="AV130" s="1233">
        <f t="shared" si="1121" ref="AV130:BK145">$F$35</f>
        <v>91149</v>
      </c>
      <c r="AW130" s="1233">
        <f t="shared" si="1086"/>
        <v>101277</v>
      </c>
      <c r="AX130" s="1233">
        <f t="shared" si="1051"/>
        <v>101277</v>
      </c>
      <c r="AY130" s="1233">
        <f t="shared" si="1016"/>
        <v>101277</v>
      </c>
      <c r="AZ130" s="1233">
        <f t="shared" si="981"/>
        <v>101277</v>
      </c>
      <c r="BA130" s="1233">
        <f t="shared" si="946"/>
        <v>91149</v>
      </c>
      <c r="BB130" s="1233">
        <f t="shared" si="911"/>
        <v>81022</v>
      </c>
      <c r="BC130" s="1233">
        <f t="shared" si="877"/>
        <v>60766</v>
      </c>
      <c r="BD130" s="1233">
        <f t="shared" si="844"/>
        <v>40511</v>
      </c>
      <c r="BE130" s="1221">
        <v>0</v>
      </c>
      <c r="BF130" s="1221">
        <v>0</v>
      </c>
      <c r="BG130" s="1221">
        <v>0</v>
      </c>
      <c r="BH130" s="1221">
        <v>0</v>
      </c>
      <c r="BI130" s="1221">
        <v>0</v>
      </c>
      <c r="BJ130" s="1221">
        <v>0</v>
      </c>
      <c r="BK130" s="1221">
        <v>0</v>
      </c>
      <c r="BL130" s="1221">
        <v>0</v>
      </c>
      <c r="BM130" s="1221">
        <v>0</v>
      </c>
      <c r="BN130" s="1221">
        <v>0</v>
      </c>
      <c r="BO130" s="1221">
        <v>0</v>
      </c>
      <c r="BP130" s="1217"/>
      <c r="BQ130" s="1217"/>
      <c r="BR130" s="1217"/>
      <c r="BS130" s="1217"/>
      <c r="BT130" s="1217"/>
      <c r="BU130" s="1217"/>
      <c r="BV130" s="1217"/>
      <c r="BW130" s="1217"/>
      <c r="BX130" s="1184"/>
      <c r="BY130" s="1184"/>
      <c r="BZ130" s="208"/>
      <c r="CA130" s="208"/>
      <c r="CB130" s="208"/>
      <c r="CC130" s="208"/>
      <c r="CD130" s="211"/>
    </row>
    <row r="131" ht="18" customHeight="1">
      <c r="A131" s="1272"/>
      <c r="B131" s="1217"/>
      <c r="C131" s="1217"/>
      <c r="D131" s="1217"/>
      <c r="E131" s="1217"/>
      <c r="F131" s="1217"/>
      <c r="G131" s="1217"/>
      <c r="H131" s="1217"/>
      <c r="I131" s="1217"/>
      <c r="J131" s="1217"/>
      <c r="K131" s="1217"/>
      <c r="L131" s="1217"/>
      <c r="M131" s="1217"/>
      <c r="N131" s="1217"/>
      <c r="O131" s="1221">
        <v>43</v>
      </c>
      <c r="P131" s="1233">
        <v>0</v>
      </c>
      <c r="Q131" s="1233">
        <v>0</v>
      </c>
      <c r="R131" s="1233">
        <v>0</v>
      </c>
      <c r="S131" s="1233">
        <v>0</v>
      </c>
      <c r="T131" s="1233">
        <v>0</v>
      </c>
      <c r="U131" s="1233">
        <v>0</v>
      </c>
      <c r="V131" s="1233">
        <f t="shared" si="914"/>
        <v>0</v>
      </c>
      <c r="W131" s="1233">
        <f t="shared" si="879"/>
        <v>0</v>
      </c>
      <c r="X131" s="1233">
        <f t="shared" si="845"/>
        <v>0</v>
      </c>
      <c r="Y131" s="1233">
        <f t="shared" si="812"/>
        <v>0</v>
      </c>
      <c r="Z131" s="1233">
        <f t="shared" si="780"/>
        <v>0</v>
      </c>
      <c r="AA131" s="1233">
        <f t="shared" si="749"/>
        <v>0</v>
      </c>
      <c r="AB131" s="1233">
        <f t="shared" si="719"/>
        <v>0</v>
      </c>
      <c r="AC131" s="1233">
        <f t="shared" si="690"/>
        <v>0</v>
      </c>
      <c r="AD131" s="1233">
        <f t="shared" si="662"/>
        <v>0</v>
      </c>
      <c r="AE131" s="1233">
        <f t="shared" si="635"/>
        <v>0</v>
      </c>
      <c r="AF131" s="1233">
        <f t="shared" si="1140" ref="AF131:AU146">$F$52</f>
        <v>0</v>
      </c>
      <c r="AG131" s="1233">
        <f t="shared" si="1105"/>
        <v>0</v>
      </c>
      <c r="AH131" s="1233">
        <f t="shared" si="1070"/>
        <v>0</v>
      </c>
      <c r="AI131" s="1233">
        <f t="shared" si="1035"/>
        <v>0</v>
      </c>
      <c r="AJ131" s="1233">
        <f t="shared" si="1000"/>
        <v>0</v>
      </c>
      <c r="AK131" s="1233">
        <f t="shared" si="965"/>
        <v>0</v>
      </c>
      <c r="AL131" s="1233">
        <f t="shared" si="930"/>
        <v>0</v>
      </c>
      <c r="AM131" s="1233">
        <f t="shared" si="895"/>
        <v>0</v>
      </c>
      <c r="AN131" s="1233">
        <f t="shared" si="861"/>
        <v>0</v>
      </c>
      <c r="AO131" s="1233">
        <f t="shared" si="828"/>
        <v>0</v>
      </c>
      <c r="AP131" s="1233">
        <f t="shared" si="796"/>
        <v>0</v>
      </c>
      <c r="AQ131" s="1233">
        <f t="shared" si="765"/>
        <v>0</v>
      </c>
      <c r="AR131" s="1233">
        <f t="shared" si="735"/>
        <v>0</v>
      </c>
      <c r="AS131" s="1233">
        <f t="shared" si="706"/>
        <v>0</v>
      </c>
      <c r="AT131" s="1233">
        <f t="shared" si="678"/>
        <v>91149</v>
      </c>
      <c r="AU131" s="1233">
        <f t="shared" si="651"/>
        <v>70894</v>
      </c>
      <c r="AV131" s="1233">
        <f t="shared" si="1156" ref="AV131:BK146">$F$36</f>
        <v>81022</v>
      </c>
      <c r="AW131" s="1233">
        <f t="shared" si="1121"/>
        <v>91149</v>
      </c>
      <c r="AX131" s="1233">
        <f t="shared" si="1086"/>
        <v>101277</v>
      </c>
      <c r="AY131" s="1233">
        <f t="shared" si="1051"/>
        <v>101277</v>
      </c>
      <c r="AZ131" s="1233">
        <f t="shared" si="1016"/>
        <v>101277</v>
      </c>
      <c r="BA131" s="1233">
        <f t="shared" si="981"/>
        <v>101277</v>
      </c>
      <c r="BB131" s="1233">
        <f t="shared" si="946"/>
        <v>91149</v>
      </c>
      <c r="BC131" s="1233">
        <f t="shared" si="911"/>
        <v>81022</v>
      </c>
      <c r="BD131" s="1233">
        <f t="shared" si="877"/>
        <v>60766</v>
      </c>
      <c r="BE131" s="1233">
        <f t="shared" si="844"/>
        <v>40511</v>
      </c>
      <c r="BF131" s="1221">
        <v>0</v>
      </c>
      <c r="BG131" s="1221">
        <v>0</v>
      </c>
      <c r="BH131" s="1221">
        <v>0</v>
      </c>
      <c r="BI131" s="1221">
        <v>0</v>
      </c>
      <c r="BJ131" s="1221">
        <v>0</v>
      </c>
      <c r="BK131" s="1221">
        <v>0</v>
      </c>
      <c r="BL131" s="1221">
        <v>0</v>
      </c>
      <c r="BM131" s="1221">
        <v>0</v>
      </c>
      <c r="BN131" s="1221">
        <v>0</v>
      </c>
      <c r="BO131" s="1221">
        <v>0</v>
      </c>
      <c r="BP131" s="1217"/>
      <c r="BQ131" s="1217"/>
      <c r="BR131" s="1217"/>
      <c r="BS131" s="1217"/>
      <c r="BT131" s="1217"/>
      <c r="BU131" s="1217"/>
      <c r="BV131" s="1217"/>
      <c r="BW131" s="1217"/>
      <c r="BX131" s="1217"/>
      <c r="BY131" s="1184"/>
      <c r="BZ131" s="208"/>
      <c r="CA131" s="208"/>
      <c r="CB131" s="208"/>
      <c r="CC131" s="208"/>
      <c r="CD131" s="211"/>
    </row>
    <row r="132" ht="18" customHeight="1">
      <c r="A132" s="1272"/>
      <c r="B132" s="1217"/>
      <c r="C132" s="1217"/>
      <c r="D132" s="1217"/>
      <c r="E132" s="1217"/>
      <c r="F132" s="1217"/>
      <c r="G132" s="1217"/>
      <c r="H132" s="1217"/>
      <c r="I132" s="1217"/>
      <c r="J132" s="1217"/>
      <c r="K132" s="1217"/>
      <c r="L132" s="1217"/>
      <c r="M132" s="1217"/>
      <c r="N132" s="1217"/>
      <c r="O132" s="1221">
        <v>44</v>
      </c>
      <c r="P132" s="1233">
        <v>0</v>
      </c>
      <c r="Q132" s="1233">
        <v>0</v>
      </c>
      <c r="R132" s="1233">
        <v>0</v>
      </c>
      <c r="S132" s="1233">
        <v>0</v>
      </c>
      <c r="T132" s="1233">
        <v>0</v>
      </c>
      <c r="U132" s="1233">
        <v>0</v>
      </c>
      <c r="V132" s="1233">
        <v>0</v>
      </c>
      <c r="W132" s="1233">
        <f t="shared" si="914"/>
        <v>0</v>
      </c>
      <c r="X132" s="1233">
        <f t="shared" si="879"/>
        <v>0</v>
      </c>
      <c r="Y132" s="1233">
        <f t="shared" si="845"/>
        <v>0</v>
      </c>
      <c r="Z132" s="1233">
        <f t="shared" si="812"/>
        <v>0</v>
      </c>
      <c r="AA132" s="1233">
        <f t="shared" si="780"/>
        <v>0</v>
      </c>
      <c r="AB132" s="1233">
        <f t="shared" si="749"/>
        <v>0</v>
      </c>
      <c r="AC132" s="1233">
        <f t="shared" si="719"/>
        <v>0</v>
      </c>
      <c r="AD132" s="1233">
        <f t="shared" si="690"/>
        <v>0</v>
      </c>
      <c r="AE132" s="1233">
        <f t="shared" si="662"/>
        <v>0</v>
      </c>
      <c r="AF132" s="1233">
        <f t="shared" si="1175" ref="AF132:AU147">$F$53</f>
        <v>0</v>
      </c>
      <c r="AG132" s="1233">
        <f t="shared" si="1140"/>
        <v>0</v>
      </c>
      <c r="AH132" s="1233">
        <f t="shared" si="1105"/>
        <v>0</v>
      </c>
      <c r="AI132" s="1233">
        <f t="shared" si="1070"/>
        <v>0</v>
      </c>
      <c r="AJ132" s="1233">
        <f t="shared" si="1035"/>
        <v>0</v>
      </c>
      <c r="AK132" s="1233">
        <f t="shared" si="1000"/>
        <v>0</v>
      </c>
      <c r="AL132" s="1233">
        <f t="shared" si="965"/>
        <v>0</v>
      </c>
      <c r="AM132" s="1233">
        <f t="shared" si="930"/>
        <v>0</v>
      </c>
      <c r="AN132" s="1233">
        <f t="shared" si="895"/>
        <v>0</v>
      </c>
      <c r="AO132" s="1233">
        <f t="shared" si="861"/>
        <v>0</v>
      </c>
      <c r="AP132" s="1233">
        <f t="shared" si="828"/>
        <v>0</v>
      </c>
      <c r="AQ132" s="1233">
        <f t="shared" si="796"/>
        <v>0</v>
      </c>
      <c r="AR132" s="1233">
        <f t="shared" si="765"/>
        <v>0</v>
      </c>
      <c r="AS132" s="1233">
        <f t="shared" si="735"/>
        <v>0</v>
      </c>
      <c r="AT132" s="1233">
        <f t="shared" si="706"/>
        <v>0</v>
      </c>
      <c r="AU132" s="1233">
        <f t="shared" si="678"/>
        <v>91149</v>
      </c>
      <c r="AV132" s="1233">
        <f t="shared" si="1191" ref="AV132:BK147">$F$37</f>
        <v>70894</v>
      </c>
      <c r="AW132" s="1233">
        <f t="shared" si="1156"/>
        <v>81022</v>
      </c>
      <c r="AX132" s="1233">
        <f t="shared" si="1121"/>
        <v>91149</v>
      </c>
      <c r="AY132" s="1233">
        <f t="shared" si="1086"/>
        <v>101277</v>
      </c>
      <c r="AZ132" s="1233">
        <f t="shared" si="1051"/>
        <v>101277</v>
      </c>
      <c r="BA132" s="1233">
        <f t="shared" si="1016"/>
        <v>101277</v>
      </c>
      <c r="BB132" s="1233">
        <f t="shared" si="981"/>
        <v>101277</v>
      </c>
      <c r="BC132" s="1233">
        <f t="shared" si="946"/>
        <v>91149</v>
      </c>
      <c r="BD132" s="1233">
        <f t="shared" si="911"/>
        <v>81022</v>
      </c>
      <c r="BE132" s="1233">
        <f t="shared" si="877"/>
        <v>60766</v>
      </c>
      <c r="BF132" s="1233">
        <f t="shared" si="844"/>
        <v>40511</v>
      </c>
      <c r="BG132" s="1221">
        <v>0</v>
      </c>
      <c r="BH132" s="1221">
        <v>0</v>
      </c>
      <c r="BI132" s="1221">
        <v>0</v>
      </c>
      <c r="BJ132" s="1221">
        <v>0</v>
      </c>
      <c r="BK132" s="1221">
        <v>0</v>
      </c>
      <c r="BL132" s="1221">
        <v>0</v>
      </c>
      <c r="BM132" s="1221">
        <v>0</v>
      </c>
      <c r="BN132" s="1221">
        <v>0</v>
      </c>
      <c r="BO132" s="1221">
        <v>0</v>
      </c>
      <c r="BP132" s="1217"/>
      <c r="BQ132" s="1217"/>
      <c r="BR132" s="1217"/>
      <c r="BS132" s="1217"/>
      <c r="BT132" s="1217"/>
      <c r="BU132" s="1217"/>
      <c r="BV132" s="1217"/>
      <c r="BW132" s="1217"/>
      <c r="BX132" s="1217"/>
      <c r="BY132" s="1217"/>
      <c r="BZ132" s="208"/>
      <c r="CA132" s="208"/>
      <c r="CB132" s="208"/>
      <c r="CC132" s="208"/>
      <c r="CD132" s="211"/>
    </row>
    <row r="133" ht="18" customHeight="1">
      <c r="A133" s="1272"/>
      <c r="B133" s="1217"/>
      <c r="C133" s="1217"/>
      <c r="D133" s="1217"/>
      <c r="E133" s="1217"/>
      <c r="F133" s="1217"/>
      <c r="G133" s="1217"/>
      <c r="H133" s="1217"/>
      <c r="I133" s="1217"/>
      <c r="J133" s="1217"/>
      <c r="K133" s="1217"/>
      <c r="L133" s="1217"/>
      <c r="M133" s="1217"/>
      <c r="N133" s="1217"/>
      <c r="O133" s="1221">
        <v>45</v>
      </c>
      <c r="P133" s="1233">
        <v>0</v>
      </c>
      <c r="Q133" s="1233">
        <v>0</v>
      </c>
      <c r="R133" s="1233">
        <v>0</v>
      </c>
      <c r="S133" s="1233">
        <v>0</v>
      </c>
      <c r="T133" s="1233">
        <v>0</v>
      </c>
      <c r="U133" s="1233">
        <v>0</v>
      </c>
      <c r="V133" s="1233">
        <v>0</v>
      </c>
      <c r="W133" s="1233">
        <v>0</v>
      </c>
      <c r="X133" s="1233">
        <f t="shared" si="914"/>
        <v>0</v>
      </c>
      <c r="Y133" s="1233">
        <f t="shared" si="879"/>
        <v>0</v>
      </c>
      <c r="Z133" s="1233">
        <f t="shared" si="845"/>
        <v>0</v>
      </c>
      <c r="AA133" s="1233">
        <f t="shared" si="812"/>
        <v>0</v>
      </c>
      <c r="AB133" s="1233">
        <f t="shared" si="780"/>
        <v>0</v>
      </c>
      <c r="AC133" s="1233">
        <f t="shared" si="749"/>
        <v>0</v>
      </c>
      <c r="AD133" s="1233">
        <f t="shared" si="719"/>
        <v>0</v>
      </c>
      <c r="AE133" s="1233">
        <f t="shared" si="690"/>
        <v>0</v>
      </c>
      <c r="AF133" s="1233">
        <f t="shared" si="1210" ref="AF133:AU148">$F$54</f>
        <v>0</v>
      </c>
      <c r="AG133" s="1233">
        <f t="shared" si="1175"/>
        <v>0</v>
      </c>
      <c r="AH133" s="1233">
        <f t="shared" si="1140"/>
        <v>0</v>
      </c>
      <c r="AI133" s="1233">
        <f t="shared" si="1105"/>
        <v>0</v>
      </c>
      <c r="AJ133" s="1233">
        <f t="shared" si="1070"/>
        <v>0</v>
      </c>
      <c r="AK133" s="1233">
        <f t="shared" si="1035"/>
        <v>0</v>
      </c>
      <c r="AL133" s="1233">
        <f t="shared" si="1000"/>
        <v>0</v>
      </c>
      <c r="AM133" s="1233">
        <f t="shared" si="965"/>
        <v>0</v>
      </c>
      <c r="AN133" s="1233">
        <f t="shared" si="930"/>
        <v>0</v>
      </c>
      <c r="AO133" s="1233">
        <f t="shared" si="895"/>
        <v>0</v>
      </c>
      <c r="AP133" s="1233">
        <f t="shared" si="861"/>
        <v>0</v>
      </c>
      <c r="AQ133" s="1233">
        <f t="shared" si="828"/>
        <v>0</v>
      </c>
      <c r="AR133" s="1233">
        <f t="shared" si="796"/>
        <v>0</v>
      </c>
      <c r="AS133" s="1233">
        <f t="shared" si="765"/>
        <v>0</v>
      </c>
      <c r="AT133" s="1233">
        <f t="shared" si="735"/>
        <v>0</v>
      </c>
      <c r="AU133" s="1233">
        <f t="shared" si="706"/>
        <v>0</v>
      </c>
      <c r="AV133" s="1233">
        <f t="shared" si="1226" ref="AV133:BK148">$F$38</f>
        <v>91149</v>
      </c>
      <c r="AW133" s="1233">
        <f t="shared" si="1191"/>
        <v>70894</v>
      </c>
      <c r="AX133" s="1233">
        <f t="shared" si="1156"/>
        <v>81022</v>
      </c>
      <c r="AY133" s="1233">
        <f t="shared" si="1121"/>
        <v>91149</v>
      </c>
      <c r="AZ133" s="1233">
        <f t="shared" si="1086"/>
        <v>101277</v>
      </c>
      <c r="BA133" s="1233">
        <f t="shared" si="1051"/>
        <v>101277</v>
      </c>
      <c r="BB133" s="1233">
        <f t="shared" si="1016"/>
        <v>101277</v>
      </c>
      <c r="BC133" s="1233">
        <f t="shared" si="981"/>
        <v>101277</v>
      </c>
      <c r="BD133" s="1233">
        <f t="shared" si="946"/>
        <v>91149</v>
      </c>
      <c r="BE133" s="1233">
        <f t="shared" si="911"/>
        <v>81022</v>
      </c>
      <c r="BF133" s="1233">
        <f t="shared" si="877"/>
        <v>60766</v>
      </c>
      <c r="BG133" s="1233">
        <f t="shared" si="844"/>
        <v>40511</v>
      </c>
      <c r="BH133" s="1221">
        <v>0</v>
      </c>
      <c r="BI133" s="1221">
        <v>0</v>
      </c>
      <c r="BJ133" s="1221">
        <v>0</v>
      </c>
      <c r="BK133" s="1221">
        <v>0</v>
      </c>
      <c r="BL133" s="1221">
        <v>0</v>
      </c>
      <c r="BM133" s="1221">
        <v>0</v>
      </c>
      <c r="BN133" s="1221">
        <v>0</v>
      </c>
      <c r="BO133" s="1221">
        <v>0</v>
      </c>
      <c r="BP133" s="1217"/>
      <c r="BQ133" s="1217"/>
      <c r="BR133" s="1217"/>
      <c r="BS133" s="1217"/>
      <c r="BT133" s="1217"/>
      <c r="BU133" s="1217"/>
      <c r="BV133" s="1217"/>
      <c r="BW133" s="1217"/>
      <c r="BX133" s="1217"/>
      <c r="BY133" s="1217"/>
      <c r="BZ133" s="1217"/>
      <c r="CA133" s="208"/>
      <c r="CB133" s="208"/>
      <c r="CC133" s="208"/>
      <c r="CD133" s="211"/>
    </row>
    <row r="134" ht="18" customHeight="1">
      <c r="A134" s="1272"/>
      <c r="B134" s="1217"/>
      <c r="C134" s="1217"/>
      <c r="D134" s="1217"/>
      <c r="E134" s="1217"/>
      <c r="F134" s="1217"/>
      <c r="G134" s="1217"/>
      <c r="H134" s="1217"/>
      <c r="I134" s="1217"/>
      <c r="J134" s="1217"/>
      <c r="K134" s="1217"/>
      <c r="L134" s="1217"/>
      <c r="M134" s="1217"/>
      <c r="N134" s="1217"/>
      <c r="O134" s="1221">
        <v>46</v>
      </c>
      <c r="P134" s="1233">
        <v>0</v>
      </c>
      <c r="Q134" s="1233">
        <v>0</v>
      </c>
      <c r="R134" s="1233">
        <v>0</v>
      </c>
      <c r="S134" s="1233">
        <v>0</v>
      </c>
      <c r="T134" s="1233">
        <v>0</v>
      </c>
      <c r="U134" s="1233">
        <v>0</v>
      </c>
      <c r="V134" s="1233">
        <v>0</v>
      </c>
      <c r="W134" s="1233">
        <v>0</v>
      </c>
      <c r="X134" s="1233">
        <v>0</v>
      </c>
      <c r="Y134" s="1233">
        <f t="shared" si="914"/>
        <v>0</v>
      </c>
      <c r="Z134" s="1233">
        <f t="shared" si="879"/>
        <v>0</v>
      </c>
      <c r="AA134" s="1233">
        <f t="shared" si="845"/>
        <v>0</v>
      </c>
      <c r="AB134" s="1233">
        <f t="shared" si="812"/>
        <v>0</v>
      </c>
      <c r="AC134" s="1233">
        <f t="shared" si="780"/>
        <v>0</v>
      </c>
      <c r="AD134" s="1233">
        <f t="shared" si="749"/>
        <v>0</v>
      </c>
      <c r="AE134" s="1233">
        <f t="shared" si="719"/>
        <v>0</v>
      </c>
      <c r="AF134" s="1233">
        <f t="shared" si="1245" ref="AF134:AU149">$F$55</f>
        <v>0</v>
      </c>
      <c r="AG134" s="1233">
        <f t="shared" si="1210"/>
        <v>0</v>
      </c>
      <c r="AH134" s="1233">
        <f t="shared" si="1175"/>
        <v>0</v>
      </c>
      <c r="AI134" s="1233">
        <f t="shared" si="1140"/>
        <v>0</v>
      </c>
      <c r="AJ134" s="1233">
        <f t="shared" si="1105"/>
        <v>0</v>
      </c>
      <c r="AK134" s="1233">
        <f t="shared" si="1070"/>
        <v>0</v>
      </c>
      <c r="AL134" s="1233">
        <f t="shared" si="1035"/>
        <v>0</v>
      </c>
      <c r="AM134" s="1233">
        <f t="shared" si="1000"/>
        <v>0</v>
      </c>
      <c r="AN134" s="1233">
        <f t="shared" si="965"/>
        <v>0</v>
      </c>
      <c r="AO134" s="1233">
        <f t="shared" si="930"/>
        <v>0</v>
      </c>
      <c r="AP134" s="1233">
        <f t="shared" si="895"/>
        <v>0</v>
      </c>
      <c r="AQ134" s="1233">
        <f t="shared" si="861"/>
        <v>0</v>
      </c>
      <c r="AR134" s="1233">
        <f t="shared" si="828"/>
        <v>0</v>
      </c>
      <c r="AS134" s="1233">
        <f t="shared" si="796"/>
        <v>0</v>
      </c>
      <c r="AT134" s="1233">
        <f t="shared" si="765"/>
        <v>0</v>
      </c>
      <c r="AU134" s="1233">
        <f t="shared" si="735"/>
        <v>0</v>
      </c>
      <c r="AV134" s="1233">
        <f t="shared" si="1261" ref="AV134:BK149">$F$39</f>
        <v>0</v>
      </c>
      <c r="AW134" s="1233">
        <f t="shared" si="1226"/>
        <v>91149</v>
      </c>
      <c r="AX134" s="1233">
        <f t="shared" si="1191"/>
        <v>70894</v>
      </c>
      <c r="AY134" s="1233">
        <f t="shared" si="1156"/>
        <v>81022</v>
      </c>
      <c r="AZ134" s="1233">
        <f t="shared" si="1121"/>
        <v>91149</v>
      </c>
      <c r="BA134" s="1233">
        <f t="shared" si="1086"/>
        <v>101277</v>
      </c>
      <c r="BB134" s="1233">
        <f t="shared" si="1051"/>
        <v>101277</v>
      </c>
      <c r="BC134" s="1233">
        <f t="shared" si="1016"/>
        <v>101277</v>
      </c>
      <c r="BD134" s="1233">
        <f t="shared" si="981"/>
        <v>101277</v>
      </c>
      <c r="BE134" s="1233">
        <f t="shared" si="946"/>
        <v>91149</v>
      </c>
      <c r="BF134" s="1233">
        <f t="shared" si="911"/>
        <v>81022</v>
      </c>
      <c r="BG134" s="1233">
        <f t="shared" si="877"/>
        <v>60766</v>
      </c>
      <c r="BH134" s="1233">
        <f t="shared" si="844"/>
        <v>40511</v>
      </c>
      <c r="BI134" s="1221">
        <v>0</v>
      </c>
      <c r="BJ134" s="1221">
        <v>0</v>
      </c>
      <c r="BK134" s="1221">
        <v>0</v>
      </c>
      <c r="BL134" s="1221">
        <v>0</v>
      </c>
      <c r="BM134" s="1221">
        <v>0</v>
      </c>
      <c r="BN134" s="1221">
        <v>0</v>
      </c>
      <c r="BO134" s="1221">
        <v>0</v>
      </c>
      <c r="BP134" s="1217"/>
      <c r="BQ134" s="1217"/>
      <c r="BR134" s="1217"/>
      <c r="BS134" s="1217"/>
      <c r="BT134" s="1217"/>
      <c r="BU134" s="1217"/>
      <c r="BV134" s="1217"/>
      <c r="BW134" s="1217"/>
      <c r="BX134" s="1217"/>
      <c r="BY134" s="1217"/>
      <c r="BZ134" s="1217"/>
      <c r="CA134" s="208"/>
      <c r="CB134" s="208"/>
      <c r="CC134" s="208"/>
      <c r="CD134" s="211"/>
    </row>
    <row r="135" ht="18" customHeight="1">
      <c r="A135" s="1272"/>
      <c r="B135" s="1217"/>
      <c r="C135" s="1217"/>
      <c r="D135" s="1217"/>
      <c r="E135" s="1217"/>
      <c r="F135" s="1217"/>
      <c r="G135" s="1217"/>
      <c r="H135" s="1217"/>
      <c r="I135" s="1217"/>
      <c r="J135" s="1217"/>
      <c r="K135" s="1217"/>
      <c r="L135" s="1217"/>
      <c r="M135" s="1217"/>
      <c r="N135" s="1217"/>
      <c r="O135" s="1221">
        <v>47</v>
      </c>
      <c r="P135" s="1233">
        <v>0</v>
      </c>
      <c r="Q135" s="1233">
        <v>0</v>
      </c>
      <c r="R135" s="1233">
        <v>0</v>
      </c>
      <c r="S135" s="1233">
        <v>0</v>
      </c>
      <c r="T135" s="1233">
        <v>0</v>
      </c>
      <c r="U135" s="1233">
        <v>0</v>
      </c>
      <c r="V135" s="1233">
        <v>0</v>
      </c>
      <c r="W135" s="1233">
        <v>0</v>
      </c>
      <c r="X135" s="1233">
        <v>0</v>
      </c>
      <c r="Y135" s="1233">
        <v>0</v>
      </c>
      <c r="Z135" s="1233">
        <f t="shared" si="914"/>
        <v>0</v>
      </c>
      <c r="AA135" s="1233">
        <f t="shared" si="879"/>
        <v>0</v>
      </c>
      <c r="AB135" s="1233">
        <f t="shared" si="845"/>
        <v>0</v>
      </c>
      <c r="AC135" s="1233">
        <f t="shared" si="812"/>
        <v>0</v>
      </c>
      <c r="AD135" s="1233">
        <f t="shared" si="780"/>
        <v>0</v>
      </c>
      <c r="AE135" s="1233">
        <f t="shared" si="749"/>
        <v>0</v>
      </c>
      <c r="AF135" s="1233">
        <f t="shared" si="1280" ref="AF135:AU150">$F$56</f>
        <v>0</v>
      </c>
      <c r="AG135" s="1233">
        <f t="shared" si="1245"/>
        <v>0</v>
      </c>
      <c r="AH135" s="1233">
        <f t="shared" si="1210"/>
        <v>0</v>
      </c>
      <c r="AI135" s="1233">
        <f t="shared" si="1175"/>
        <v>0</v>
      </c>
      <c r="AJ135" s="1233">
        <f t="shared" si="1140"/>
        <v>0</v>
      </c>
      <c r="AK135" s="1233">
        <f t="shared" si="1105"/>
        <v>0</v>
      </c>
      <c r="AL135" s="1233">
        <f t="shared" si="1070"/>
        <v>0</v>
      </c>
      <c r="AM135" s="1233">
        <f t="shared" si="1035"/>
        <v>0</v>
      </c>
      <c r="AN135" s="1233">
        <f t="shared" si="1000"/>
        <v>0</v>
      </c>
      <c r="AO135" s="1233">
        <f t="shared" si="965"/>
        <v>0</v>
      </c>
      <c r="AP135" s="1233">
        <f t="shared" si="930"/>
        <v>0</v>
      </c>
      <c r="AQ135" s="1233">
        <f t="shared" si="895"/>
        <v>0</v>
      </c>
      <c r="AR135" s="1233">
        <f t="shared" si="861"/>
        <v>0</v>
      </c>
      <c r="AS135" s="1233">
        <f t="shared" si="828"/>
        <v>0</v>
      </c>
      <c r="AT135" s="1233">
        <f t="shared" si="796"/>
        <v>0</v>
      </c>
      <c r="AU135" s="1233">
        <f t="shared" si="765"/>
        <v>0</v>
      </c>
      <c r="AV135" s="1233">
        <f t="shared" si="1296" ref="AV135:BK150">$F$40</f>
        <v>0</v>
      </c>
      <c r="AW135" s="1233">
        <f t="shared" si="1261"/>
        <v>0</v>
      </c>
      <c r="AX135" s="1233">
        <f t="shared" si="1226"/>
        <v>91149</v>
      </c>
      <c r="AY135" s="1233">
        <f t="shared" si="1191"/>
        <v>70894</v>
      </c>
      <c r="AZ135" s="1233">
        <f t="shared" si="1156"/>
        <v>81022</v>
      </c>
      <c r="BA135" s="1233">
        <f t="shared" si="1121"/>
        <v>91149</v>
      </c>
      <c r="BB135" s="1233">
        <f t="shared" si="1086"/>
        <v>101277</v>
      </c>
      <c r="BC135" s="1233">
        <f t="shared" si="1051"/>
        <v>101277</v>
      </c>
      <c r="BD135" s="1233">
        <f t="shared" si="1016"/>
        <v>101277</v>
      </c>
      <c r="BE135" s="1233">
        <f t="shared" si="981"/>
        <v>101277</v>
      </c>
      <c r="BF135" s="1233">
        <f t="shared" si="946"/>
        <v>91149</v>
      </c>
      <c r="BG135" s="1233">
        <f t="shared" si="911"/>
        <v>81022</v>
      </c>
      <c r="BH135" s="1233">
        <f t="shared" si="877"/>
        <v>60766</v>
      </c>
      <c r="BI135" s="1233">
        <f t="shared" si="844"/>
        <v>40511</v>
      </c>
      <c r="BJ135" s="1221">
        <v>0</v>
      </c>
      <c r="BK135" s="1221">
        <v>0</v>
      </c>
      <c r="BL135" s="1221">
        <v>0</v>
      </c>
      <c r="BM135" s="1221">
        <v>0</v>
      </c>
      <c r="BN135" s="1221">
        <v>0</v>
      </c>
      <c r="BO135" s="1221">
        <v>0</v>
      </c>
      <c r="BP135" s="1217"/>
      <c r="BQ135" s="1217"/>
      <c r="BR135" s="1217"/>
      <c r="BS135" s="1217"/>
      <c r="BT135" s="1217"/>
      <c r="BU135" s="1217"/>
      <c r="BV135" s="1217"/>
      <c r="BW135" s="1217"/>
      <c r="BX135" s="1217"/>
      <c r="BY135" s="1217"/>
      <c r="BZ135" s="1217"/>
      <c r="CA135" s="208"/>
      <c r="CB135" s="208"/>
      <c r="CC135" s="208"/>
      <c r="CD135" s="211"/>
    </row>
    <row r="136" ht="18" customHeight="1">
      <c r="A136" s="82"/>
      <c r="B136" s="708"/>
      <c r="C136" s="708"/>
      <c r="D136" s="708"/>
      <c r="E136" s="708"/>
      <c r="F136" s="708"/>
      <c r="G136" s="708"/>
      <c r="H136" s="708"/>
      <c r="I136" s="708"/>
      <c r="J136" s="708"/>
      <c r="K136" s="708"/>
      <c r="L136" s="708"/>
      <c r="M136" s="708"/>
      <c r="N136" s="708"/>
      <c r="O136" s="1221">
        <v>48</v>
      </c>
      <c r="P136" s="1233">
        <v>0</v>
      </c>
      <c r="Q136" s="1233">
        <v>0</v>
      </c>
      <c r="R136" s="1233">
        <v>0</v>
      </c>
      <c r="S136" s="1233">
        <v>0</v>
      </c>
      <c r="T136" s="1233">
        <v>0</v>
      </c>
      <c r="U136" s="1233">
        <v>0</v>
      </c>
      <c r="V136" s="1233">
        <v>0</v>
      </c>
      <c r="W136" s="1233">
        <v>0</v>
      </c>
      <c r="X136" s="1233">
        <v>0</v>
      </c>
      <c r="Y136" s="1233">
        <v>0</v>
      </c>
      <c r="Z136" s="1233">
        <v>0</v>
      </c>
      <c r="AA136" s="1233">
        <f t="shared" si="914"/>
        <v>0</v>
      </c>
      <c r="AB136" s="1233">
        <f t="shared" si="879"/>
        <v>0</v>
      </c>
      <c r="AC136" s="1233">
        <f t="shared" si="845"/>
        <v>0</v>
      </c>
      <c r="AD136" s="1233">
        <f t="shared" si="812"/>
        <v>0</v>
      </c>
      <c r="AE136" s="1233">
        <f t="shared" si="780"/>
        <v>0</v>
      </c>
      <c r="AF136" s="1233">
        <f t="shared" si="1315" ref="AF136:AU151">$F$57</f>
        <v>0</v>
      </c>
      <c r="AG136" s="1233">
        <f t="shared" si="1280"/>
        <v>0</v>
      </c>
      <c r="AH136" s="1233">
        <f t="shared" si="1245"/>
        <v>0</v>
      </c>
      <c r="AI136" s="1233">
        <f t="shared" si="1210"/>
        <v>0</v>
      </c>
      <c r="AJ136" s="1233">
        <f t="shared" si="1175"/>
        <v>0</v>
      </c>
      <c r="AK136" s="1233">
        <f t="shared" si="1140"/>
        <v>0</v>
      </c>
      <c r="AL136" s="1233">
        <f t="shared" si="1105"/>
        <v>0</v>
      </c>
      <c r="AM136" s="1233">
        <f t="shared" si="1070"/>
        <v>0</v>
      </c>
      <c r="AN136" s="1233">
        <f t="shared" si="1035"/>
        <v>0</v>
      </c>
      <c r="AO136" s="1233">
        <f t="shared" si="1000"/>
        <v>0</v>
      </c>
      <c r="AP136" s="1233">
        <f t="shared" si="965"/>
        <v>0</v>
      </c>
      <c r="AQ136" s="1233">
        <f t="shared" si="930"/>
        <v>0</v>
      </c>
      <c r="AR136" s="1233">
        <f t="shared" si="895"/>
        <v>0</v>
      </c>
      <c r="AS136" s="1233">
        <f t="shared" si="861"/>
        <v>0</v>
      </c>
      <c r="AT136" s="1233">
        <f t="shared" si="828"/>
        <v>0</v>
      </c>
      <c r="AU136" s="1233">
        <f t="shared" si="796"/>
        <v>0</v>
      </c>
      <c r="AV136" s="1233">
        <f t="shared" si="1331" ref="AV136:BK151">$F$41</f>
        <v>0</v>
      </c>
      <c r="AW136" s="1233">
        <f t="shared" si="1296"/>
        <v>0</v>
      </c>
      <c r="AX136" s="1233">
        <f t="shared" si="1261"/>
        <v>0</v>
      </c>
      <c r="AY136" s="1233">
        <f t="shared" si="1226"/>
        <v>91149</v>
      </c>
      <c r="AZ136" s="1233">
        <f t="shared" si="1191"/>
        <v>70894</v>
      </c>
      <c r="BA136" s="1233">
        <f t="shared" si="1156"/>
        <v>81022</v>
      </c>
      <c r="BB136" s="1233">
        <f t="shared" si="1121"/>
        <v>91149</v>
      </c>
      <c r="BC136" s="1233">
        <f t="shared" si="1086"/>
        <v>101277</v>
      </c>
      <c r="BD136" s="1233">
        <f t="shared" si="1051"/>
        <v>101277</v>
      </c>
      <c r="BE136" s="1233">
        <f t="shared" si="1016"/>
        <v>101277</v>
      </c>
      <c r="BF136" s="1233">
        <f t="shared" si="981"/>
        <v>101277</v>
      </c>
      <c r="BG136" s="1233">
        <f t="shared" si="946"/>
        <v>91149</v>
      </c>
      <c r="BH136" s="1233">
        <f t="shared" si="911"/>
        <v>81022</v>
      </c>
      <c r="BI136" s="1233">
        <f t="shared" si="877"/>
        <v>60766</v>
      </c>
      <c r="BJ136" s="1233">
        <f t="shared" si="844"/>
        <v>40511</v>
      </c>
      <c r="BK136" s="1221">
        <v>0</v>
      </c>
      <c r="BL136" s="1221">
        <v>0</v>
      </c>
      <c r="BM136" s="1221">
        <v>0</v>
      </c>
      <c r="BN136" s="1221">
        <v>0</v>
      </c>
      <c r="BO136" s="1221">
        <v>0</v>
      </c>
      <c r="BP136" s="1217"/>
      <c r="BQ136" s="1217"/>
      <c r="BR136" s="1217"/>
      <c r="BS136" s="1217"/>
      <c r="BT136" s="1217"/>
      <c r="BU136" s="1217"/>
      <c r="BV136" s="1217"/>
      <c r="BW136" s="1217"/>
      <c r="BX136" s="1217"/>
      <c r="BY136" s="1217"/>
      <c r="BZ136" s="1217"/>
      <c r="CA136" s="208"/>
      <c r="CB136" s="208"/>
      <c r="CC136" s="208"/>
      <c r="CD136" s="211"/>
    </row>
    <row r="137" ht="18" customHeight="1">
      <c r="A137" s="82"/>
      <c r="B137" s="708"/>
      <c r="C137" s="708"/>
      <c r="D137" s="708"/>
      <c r="E137" s="708"/>
      <c r="F137" s="708"/>
      <c r="G137" s="708"/>
      <c r="H137" s="708"/>
      <c r="I137" s="708"/>
      <c r="J137" s="708"/>
      <c r="K137" s="708"/>
      <c r="L137" s="708"/>
      <c r="M137" s="708"/>
      <c r="N137" s="708"/>
      <c r="O137" s="1221">
        <v>49</v>
      </c>
      <c r="P137" s="1233">
        <v>0</v>
      </c>
      <c r="Q137" s="1233">
        <v>0</v>
      </c>
      <c r="R137" s="1233">
        <v>0</v>
      </c>
      <c r="S137" s="1233">
        <v>0</v>
      </c>
      <c r="T137" s="1233">
        <v>0</v>
      </c>
      <c r="U137" s="1233">
        <v>0</v>
      </c>
      <c r="V137" s="1233">
        <v>0</v>
      </c>
      <c r="W137" s="1233">
        <v>0</v>
      </c>
      <c r="X137" s="1233">
        <v>0</v>
      </c>
      <c r="Y137" s="1233">
        <v>0</v>
      </c>
      <c r="Z137" s="1233">
        <v>0</v>
      </c>
      <c r="AA137" s="1233">
        <v>0</v>
      </c>
      <c r="AB137" s="1233">
        <f t="shared" si="914"/>
        <v>0</v>
      </c>
      <c r="AC137" s="1233">
        <f t="shared" si="879"/>
        <v>0</v>
      </c>
      <c r="AD137" s="1233">
        <f t="shared" si="845"/>
        <v>0</v>
      </c>
      <c r="AE137" s="1233">
        <f t="shared" si="812"/>
        <v>0</v>
      </c>
      <c r="AF137" s="1233">
        <f t="shared" si="1350" ref="AF137:AU152">$F$58</f>
        <v>0</v>
      </c>
      <c r="AG137" s="1233">
        <f t="shared" si="1315"/>
        <v>0</v>
      </c>
      <c r="AH137" s="1233">
        <f t="shared" si="1280"/>
        <v>0</v>
      </c>
      <c r="AI137" s="1233">
        <f t="shared" si="1245"/>
        <v>0</v>
      </c>
      <c r="AJ137" s="1233">
        <f t="shared" si="1210"/>
        <v>0</v>
      </c>
      <c r="AK137" s="1233">
        <f t="shared" si="1175"/>
        <v>0</v>
      </c>
      <c r="AL137" s="1233">
        <f t="shared" si="1140"/>
        <v>0</v>
      </c>
      <c r="AM137" s="1233">
        <f t="shared" si="1105"/>
        <v>0</v>
      </c>
      <c r="AN137" s="1233">
        <f t="shared" si="1070"/>
        <v>0</v>
      </c>
      <c r="AO137" s="1233">
        <f t="shared" si="1035"/>
        <v>0</v>
      </c>
      <c r="AP137" s="1233">
        <f t="shared" si="1000"/>
        <v>0</v>
      </c>
      <c r="AQ137" s="1233">
        <f t="shared" si="965"/>
        <v>0</v>
      </c>
      <c r="AR137" s="1233">
        <f t="shared" si="930"/>
        <v>0</v>
      </c>
      <c r="AS137" s="1233">
        <f t="shared" si="895"/>
        <v>0</v>
      </c>
      <c r="AT137" s="1233">
        <f t="shared" si="861"/>
        <v>0</v>
      </c>
      <c r="AU137" s="1233">
        <f t="shared" si="828"/>
        <v>0</v>
      </c>
      <c r="AV137" s="1233">
        <f t="shared" si="1366" ref="AV137:BK152">$F$42</f>
        <v>0</v>
      </c>
      <c r="AW137" s="1233">
        <f t="shared" si="1331"/>
        <v>0</v>
      </c>
      <c r="AX137" s="1233">
        <f t="shared" si="1296"/>
        <v>0</v>
      </c>
      <c r="AY137" s="1233">
        <f t="shared" si="1261"/>
        <v>0</v>
      </c>
      <c r="AZ137" s="1233">
        <f t="shared" si="1226"/>
        <v>91149</v>
      </c>
      <c r="BA137" s="1233">
        <f t="shared" si="1191"/>
        <v>70894</v>
      </c>
      <c r="BB137" s="1233">
        <f t="shared" si="1156"/>
        <v>81022</v>
      </c>
      <c r="BC137" s="1233">
        <f t="shared" si="1121"/>
        <v>91149</v>
      </c>
      <c r="BD137" s="1233">
        <f t="shared" si="1086"/>
        <v>101277</v>
      </c>
      <c r="BE137" s="1233">
        <f t="shared" si="1051"/>
        <v>101277</v>
      </c>
      <c r="BF137" s="1233">
        <f t="shared" si="1016"/>
        <v>101277</v>
      </c>
      <c r="BG137" s="1233">
        <f t="shared" si="981"/>
        <v>101277</v>
      </c>
      <c r="BH137" s="1233">
        <f t="shared" si="946"/>
        <v>91149</v>
      </c>
      <c r="BI137" s="1233">
        <f t="shared" si="911"/>
        <v>81022</v>
      </c>
      <c r="BJ137" s="1233">
        <f t="shared" si="877"/>
        <v>60766</v>
      </c>
      <c r="BK137" s="1233">
        <f t="shared" si="844"/>
        <v>40511</v>
      </c>
      <c r="BL137" s="1221">
        <v>0</v>
      </c>
      <c r="BM137" s="1221">
        <v>0</v>
      </c>
      <c r="BN137" s="1221">
        <v>0</v>
      </c>
      <c r="BO137" s="1221">
        <v>0</v>
      </c>
      <c r="BP137" s="1217"/>
      <c r="BQ137" s="1217"/>
      <c r="BR137" s="1217"/>
      <c r="BS137" s="1217"/>
      <c r="BT137" s="1217"/>
      <c r="BU137" s="1217"/>
      <c r="BV137" s="1217"/>
      <c r="BW137" s="1217"/>
      <c r="BX137" s="1217"/>
      <c r="BY137" s="1217"/>
      <c r="BZ137" s="1217"/>
      <c r="CA137" s="208"/>
      <c r="CB137" s="208"/>
      <c r="CC137" s="208"/>
      <c r="CD137" s="211"/>
    </row>
    <row r="138" ht="18" customHeight="1">
      <c r="A138" s="82"/>
      <c r="B138" s="708"/>
      <c r="C138" s="708"/>
      <c r="D138" s="708"/>
      <c r="E138" s="708"/>
      <c r="F138" s="708"/>
      <c r="G138" s="708"/>
      <c r="H138" s="708"/>
      <c r="I138" s="708"/>
      <c r="J138" s="708"/>
      <c r="K138" s="708"/>
      <c r="L138" s="708"/>
      <c r="M138" s="708"/>
      <c r="N138" s="708"/>
      <c r="O138" s="1221">
        <v>50</v>
      </c>
      <c r="P138" s="1233">
        <v>0</v>
      </c>
      <c r="Q138" s="1233">
        <v>0</v>
      </c>
      <c r="R138" s="1233">
        <v>0</v>
      </c>
      <c r="S138" s="1233">
        <v>0</v>
      </c>
      <c r="T138" s="1233">
        <v>0</v>
      </c>
      <c r="U138" s="1233">
        <v>0</v>
      </c>
      <c r="V138" s="1233">
        <v>0</v>
      </c>
      <c r="W138" s="1233">
        <v>0</v>
      </c>
      <c r="X138" s="1233">
        <v>0</v>
      </c>
      <c r="Y138" s="1233">
        <v>0</v>
      </c>
      <c r="Z138" s="1233">
        <v>0</v>
      </c>
      <c r="AA138" s="1233">
        <v>0</v>
      </c>
      <c r="AB138" s="1233">
        <v>0</v>
      </c>
      <c r="AC138" s="1233">
        <f t="shared" si="914"/>
        <v>0</v>
      </c>
      <c r="AD138" s="1233">
        <f t="shared" si="879"/>
        <v>0</v>
      </c>
      <c r="AE138" s="1233">
        <f t="shared" si="845"/>
        <v>0</v>
      </c>
      <c r="AF138" s="1233">
        <f t="shared" si="1385" ref="AF138:AU153">$F$59</f>
        <v>0</v>
      </c>
      <c r="AG138" s="1233">
        <f t="shared" si="1350"/>
        <v>0</v>
      </c>
      <c r="AH138" s="1233">
        <f t="shared" si="1315"/>
        <v>0</v>
      </c>
      <c r="AI138" s="1233">
        <f t="shared" si="1280"/>
        <v>0</v>
      </c>
      <c r="AJ138" s="1233">
        <f t="shared" si="1245"/>
        <v>0</v>
      </c>
      <c r="AK138" s="1233">
        <f t="shared" si="1210"/>
        <v>0</v>
      </c>
      <c r="AL138" s="1233">
        <f t="shared" si="1175"/>
        <v>0</v>
      </c>
      <c r="AM138" s="1233">
        <f t="shared" si="1140"/>
        <v>0</v>
      </c>
      <c r="AN138" s="1233">
        <f t="shared" si="1105"/>
        <v>0</v>
      </c>
      <c r="AO138" s="1233">
        <f t="shared" si="1070"/>
        <v>0</v>
      </c>
      <c r="AP138" s="1233">
        <f t="shared" si="1035"/>
        <v>0</v>
      </c>
      <c r="AQ138" s="1233">
        <f t="shared" si="1000"/>
        <v>0</v>
      </c>
      <c r="AR138" s="1233">
        <f t="shared" si="965"/>
        <v>0</v>
      </c>
      <c r="AS138" s="1233">
        <f t="shared" si="930"/>
        <v>0</v>
      </c>
      <c r="AT138" s="1233">
        <f t="shared" si="895"/>
        <v>0</v>
      </c>
      <c r="AU138" s="1233">
        <f t="shared" si="861"/>
        <v>0</v>
      </c>
      <c r="AV138" s="1233">
        <f t="shared" si="1401" ref="AV138:BK153">$F$43</f>
        <v>0</v>
      </c>
      <c r="AW138" s="1233">
        <f t="shared" si="1366"/>
        <v>0</v>
      </c>
      <c r="AX138" s="1233">
        <f t="shared" si="1331"/>
        <v>0</v>
      </c>
      <c r="AY138" s="1233">
        <f t="shared" si="1296"/>
        <v>0</v>
      </c>
      <c r="AZ138" s="1233">
        <f t="shared" si="1261"/>
        <v>0</v>
      </c>
      <c r="BA138" s="1233">
        <f t="shared" si="1226"/>
        <v>91149</v>
      </c>
      <c r="BB138" s="1233">
        <f t="shared" si="1191"/>
        <v>70894</v>
      </c>
      <c r="BC138" s="1233">
        <f t="shared" si="1156"/>
        <v>81022</v>
      </c>
      <c r="BD138" s="1233">
        <f t="shared" si="1121"/>
        <v>91149</v>
      </c>
      <c r="BE138" s="1233">
        <f t="shared" si="1086"/>
        <v>101277</v>
      </c>
      <c r="BF138" s="1233">
        <f t="shared" si="1051"/>
        <v>101277</v>
      </c>
      <c r="BG138" s="1233">
        <f t="shared" si="1016"/>
        <v>101277</v>
      </c>
      <c r="BH138" s="1233">
        <f t="shared" si="981"/>
        <v>101277</v>
      </c>
      <c r="BI138" s="1233">
        <f t="shared" si="946"/>
        <v>91149</v>
      </c>
      <c r="BJ138" s="1233">
        <f t="shared" si="911"/>
        <v>81022</v>
      </c>
      <c r="BK138" s="1233">
        <f t="shared" si="877"/>
        <v>60766</v>
      </c>
      <c r="BL138" s="1233">
        <f t="shared" si="1417" ref="BL138:BZ152">$F$27</f>
        <v>40511</v>
      </c>
      <c r="BM138" s="1221">
        <v>0</v>
      </c>
      <c r="BN138" s="1221">
        <v>0</v>
      </c>
      <c r="BO138" s="1221">
        <v>0</v>
      </c>
      <c r="BP138" s="1217"/>
      <c r="BQ138" s="1217"/>
      <c r="BR138" s="1217"/>
      <c r="BS138" s="1217"/>
      <c r="BT138" s="1217"/>
      <c r="BU138" s="1217"/>
      <c r="BV138" s="1217"/>
      <c r="BW138" s="1217"/>
      <c r="BX138" s="1217"/>
      <c r="BY138" s="1217"/>
      <c r="BZ138" s="1217"/>
      <c r="CA138" s="208"/>
      <c r="CB138" s="208"/>
      <c r="CC138" s="208"/>
      <c r="CD138" s="211"/>
    </row>
    <row r="139" ht="18" customHeight="1">
      <c r="A139" s="82"/>
      <c r="B139" s="708"/>
      <c r="C139" s="708"/>
      <c r="D139" s="708"/>
      <c r="E139" s="708"/>
      <c r="F139" s="708"/>
      <c r="G139" s="708"/>
      <c r="H139" s="708"/>
      <c r="I139" s="708"/>
      <c r="J139" s="708"/>
      <c r="K139" s="708"/>
      <c r="L139" s="708"/>
      <c r="M139" s="708"/>
      <c r="N139" s="708"/>
      <c r="O139" s="1221">
        <v>51</v>
      </c>
      <c r="P139" s="1233">
        <v>0</v>
      </c>
      <c r="Q139" s="1233">
        <v>0</v>
      </c>
      <c r="R139" s="1233">
        <v>0</v>
      </c>
      <c r="S139" s="1233">
        <v>0</v>
      </c>
      <c r="T139" s="1233">
        <v>0</v>
      </c>
      <c r="U139" s="1233">
        <v>0</v>
      </c>
      <c r="V139" s="1233">
        <v>0</v>
      </c>
      <c r="W139" s="1233">
        <v>0</v>
      </c>
      <c r="X139" s="1233">
        <v>0</v>
      </c>
      <c r="Y139" s="1233">
        <v>0</v>
      </c>
      <c r="Z139" s="1233">
        <v>0</v>
      </c>
      <c r="AA139" s="1233">
        <v>0</v>
      </c>
      <c r="AB139" s="1233">
        <v>0</v>
      </c>
      <c r="AC139" s="1233">
        <v>0</v>
      </c>
      <c r="AD139" s="1233">
        <f t="shared" si="914"/>
        <v>0</v>
      </c>
      <c r="AE139" s="1233">
        <f t="shared" si="879"/>
        <v>0</v>
      </c>
      <c r="AF139" s="1233">
        <f t="shared" si="1420" ref="AF139:AU154">$F$60</f>
        <v>0</v>
      </c>
      <c r="AG139" s="1233">
        <f t="shared" si="1385"/>
        <v>0</v>
      </c>
      <c r="AH139" s="1233">
        <f t="shared" si="1350"/>
        <v>0</v>
      </c>
      <c r="AI139" s="1233">
        <f t="shared" si="1315"/>
        <v>0</v>
      </c>
      <c r="AJ139" s="1233">
        <f t="shared" si="1280"/>
        <v>0</v>
      </c>
      <c r="AK139" s="1233">
        <f t="shared" si="1245"/>
        <v>0</v>
      </c>
      <c r="AL139" s="1233">
        <f t="shared" si="1210"/>
        <v>0</v>
      </c>
      <c r="AM139" s="1233">
        <f t="shared" si="1175"/>
        <v>0</v>
      </c>
      <c r="AN139" s="1233">
        <f t="shared" si="1140"/>
        <v>0</v>
      </c>
      <c r="AO139" s="1233">
        <f t="shared" si="1105"/>
        <v>0</v>
      </c>
      <c r="AP139" s="1233">
        <f t="shared" si="1070"/>
        <v>0</v>
      </c>
      <c r="AQ139" s="1233">
        <f t="shared" si="1035"/>
        <v>0</v>
      </c>
      <c r="AR139" s="1233">
        <f t="shared" si="1000"/>
        <v>0</v>
      </c>
      <c r="AS139" s="1233">
        <f t="shared" si="965"/>
        <v>0</v>
      </c>
      <c r="AT139" s="1233">
        <f t="shared" si="930"/>
        <v>0</v>
      </c>
      <c r="AU139" s="1233">
        <f t="shared" si="895"/>
        <v>0</v>
      </c>
      <c r="AV139" s="1233">
        <f t="shared" si="1436" ref="AV139:BK154">$F$44</f>
        <v>0</v>
      </c>
      <c r="AW139" s="1233">
        <f t="shared" si="1401"/>
        <v>0</v>
      </c>
      <c r="AX139" s="1233">
        <f t="shared" si="1366"/>
        <v>0</v>
      </c>
      <c r="AY139" s="1233">
        <f t="shared" si="1331"/>
        <v>0</v>
      </c>
      <c r="AZ139" s="1233">
        <f t="shared" si="1296"/>
        <v>0</v>
      </c>
      <c r="BA139" s="1233">
        <f t="shared" si="1261"/>
        <v>0</v>
      </c>
      <c r="BB139" s="1233">
        <f t="shared" si="1226"/>
        <v>91149</v>
      </c>
      <c r="BC139" s="1233">
        <f t="shared" si="1191"/>
        <v>70894</v>
      </c>
      <c r="BD139" s="1233">
        <f t="shared" si="1156"/>
        <v>81022</v>
      </c>
      <c r="BE139" s="1233">
        <f t="shared" si="1121"/>
        <v>91149</v>
      </c>
      <c r="BF139" s="1233">
        <f t="shared" si="1086"/>
        <v>101277</v>
      </c>
      <c r="BG139" s="1233">
        <f t="shared" si="1051"/>
        <v>101277</v>
      </c>
      <c r="BH139" s="1233">
        <f t="shared" si="1016"/>
        <v>101277</v>
      </c>
      <c r="BI139" s="1233">
        <f t="shared" si="981"/>
        <v>101277</v>
      </c>
      <c r="BJ139" s="1233">
        <f t="shared" si="946"/>
        <v>91149</v>
      </c>
      <c r="BK139" s="1233">
        <f t="shared" si="911"/>
        <v>81022</v>
      </c>
      <c r="BL139" s="1233">
        <f t="shared" si="1452" ref="BL139:BZ153">$F$28</f>
        <v>60766</v>
      </c>
      <c r="BM139" s="1233">
        <f t="shared" si="1417"/>
        <v>40511</v>
      </c>
      <c r="BN139" s="1221">
        <v>0</v>
      </c>
      <c r="BO139" s="1221">
        <v>0</v>
      </c>
      <c r="BP139" s="1217"/>
      <c r="BQ139" s="1217"/>
      <c r="BR139" s="1217"/>
      <c r="BS139" s="1217"/>
      <c r="BT139" s="1217"/>
      <c r="BU139" s="1217"/>
      <c r="BV139" s="1217"/>
      <c r="BW139" s="1217"/>
      <c r="BX139" s="1217"/>
      <c r="BY139" s="1217"/>
      <c r="BZ139" s="1217"/>
      <c r="CA139" s="208"/>
      <c r="CB139" s="208"/>
      <c r="CC139" s="208"/>
      <c r="CD139" s="211"/>
    </row>
    <row r="140" ht="18" customHeight="1">
      <c r="A140" s="207"/>
      <c r="B140" s="208"/>
      <c r="C140" s="208"/>
      <c r="D140" s="208"/>
      <c r="E140" s="208"/>
      <c r="F140" s="208"/>
      <c r="G140" s="1194"/>
      <c r="H140" s="208"/>
      <c r="I140" s="208"/>
      <c r="J140" s="208"/>
      <c r="K140" s="208"/>
      <c r="L140" s="208"/>
      <c r="M140" s="208"/>
      <c r="N140" s="208"/>
      <c r="O140" s="1221">
        <v>52</v>
      </c>
      <c r="P140" s="1233">
        <v>0</v>
      </c>
      <c r="Q140" s="1233">
        <v>0</v>
      </c>
      <c r="R140" s="1233">
        <v>0</v>
      </c>
      <c r="S140" s="1233">
        <v>0</v>
      </c>
      <c r="T140" s="1233">
        <v>0</v>
      </c>
      <c r="U140" s="1233">
        <v>0</v>
      </c>
      <c r="V140" s="1233">
        <v>0</v>
      </c>
      <c r="W140" s="1233">
        <v>0</v>
      </c>
      <c r="X140" s="1233">
        <v>0</v>
      </c>
      <c r="Y140" s="1233">
        <v>0</v>
      </c>
      <c r="Z140" s="1233">
        <v>0</v>
      </c>
      <c r="AA140" s="1233">
        <v>0</v>
      </c>
      <c r="AB140" s="1233">
        <v>0</v>
      </c>
      <c r="AC140" s="1233">
        <v>0</v>
      </c>
      <c r="AD140" s="1233">
        <v>0</v>
      </c>
      <c r="AE140" s="1233">
        <f t="shared" si="914"/>
        <v>0</v>
      </c>
      <c r="AF140" s="1233">
        <f t="shared" si="1455" ref="AF140:AU155">$F$61</f>
        <v>0</v>
      </c>
      <c r="AG140" s="1233">
        <f t="shared" si="1420"/>
        <v>0</v>
      </c>
      <c r="AH140" s="1233">
        <f t="shared" si="1385"/>
        <v>0</v>
      </c>
      <c r="AI140" s="1233">
        <f t="shared" si="1350"/>
        <v>0</v>
      </c>
      <c r="AJ140" s="1233">
        <f t="shared" si="1315"/>
        <v>0</v>
      </c>
      <c r="AK140" s="1233">
        <f t="shared" si="1280"/>
        <v>0</v>
      </c>
      <c r="AL140" s="1233">
        <f t="shared" si="1245"/>
        <v>0</v>
      </c>
      <c r="AM140" s="1233">
        <f t="shared" si="1210"/>
        <v>0</v>
      </c>
      <c r="AN140" s="1233">
        <f t="shared" si="1175"/>
        <v>0</v>
      </c>
      <c r="AO140" s="1233">
        <f t="shared" si="1140"/>
        <v>0</v>
      </c>
      <c r="AP140" s="1233">
        <f t="shared" si="1105"/>
        <v>0</v>
      </c>
      <c r="AQ140" s="1233">
        <f t="shared" si="1070"/>
        <v>0</v>
      </c>
      <c r="AR140" s="1233">
        <f t="shared" si="1035"/>
        <v>0</v>
      </c>
      <c r="AS140" s="1233">
        <f t="shared" si="1000"/>
        <v>0</v>
      </c>
      <c r="AT140" s="1233">
        <f t="shared" si="965"/>
        <v>0</v>
      </c>
      <c r="AU140" s="1233">
        <f t="shared" si="930"/>
        <v>0</v>
      </c>
      <c r="AV140" s="1233">
        <f t="shared" si="1471" ref="AV140:BK155">$F$45</f>
        <v>0</v>
      </c>
      <c r="AW140" s="1233">
        <f t="shared" si="1436"/>
        <v>0</v>
      </c>
      <c r="AX140" s="1233">
        <f t="shared" si="1401"/>
        <v>0</v>
      </c>
      <c r="AY140" s="1233">
        <f t="shared" si="1366"/>
        <v>0</v>
      </c>
      <c r="AZ140" s="1233">
        <f t="shared" si="1331"/>
        <v>0</v>
      </c>
      <c r="BA140" s="1233">
        <f t="shared" si="1296"/>
        <v>0</v>
      </c>
      <c r="BB140" s="1233">
        <f t="shared" si="1261"/>
        <v>0</v>
      </c>
      <c r="BC140" s="1233">
        <f t="shared" si="1226"/>
        <v>91149</v>
      </c>
      <c r="BD140" s="1233">
        <f t="shared" si="1191"/>
        <v>70894</v>
      </c>
      <c r="BE140" s="1233">
        <f t="shared" si="1156"/>
        <v>81022</v>
      </c>
      <c r="BF140" s="1233">
        <f t="shared" si="1121"/>
        <v>91149</v>
      </c>
      <c r="BG140" s="1233">
        <f t="shared" si="1086"/>
        <v>101277</v>
      </c>
      <c r="BH140" s="1233">
        <f t="shared" si="1051"/>
        <v>101277</v>
      </c>
      <c r="BI140" s="1233">
        <f t="shared" si="1016"/>
        <v>101277</v>
      </c>
      <c r="BJ140" s="1233">
        <f t="shared" si="981"/>
        <v>101277</v>
      </c>
      <c r="BK140" s="1233">
        <f t="shared" si="946"/>
        <v>91149</v>
      </c>
      <c r="BL140" s="1233">
        <f t="shared" si="1487" ref="BL140:BZ154">$F$29</f>
        <v>81022</v>
      </c>
      <c r="BM140" s="1233">
        <f t="shared" si="1452"/>
        <v>60766</v>
      </c>
      <c r="BN140" s="1233">
        <f t="shared" si="1417"/>
        <v>40511</v>
      </c>
      <c r="BO140" s="1221">
        <v>0</v>
      </c>
      <c r="BP140" s="1217"/>
      <c r="BQ140" s="1217"/>
      <c r="BR140" s="1217"/>
      <c r="BS140" s="1217"/>
      <c r="BT140" s="1217"/>
      <c r="BU140" s="1217"/>
      <c r="BV140" s="1217"/>
      <c r="BW140" s="1217"/>
      <c r="BX140" s="1217"/>
      <c r="BY140" s="1217"/>
      <c r="BZ140" s="1217"/>
      <c r="CA140" s="208"/>
      <c r="CB140" s="208"/>
      <c r="CC140" s="208"/>
      <c r="CD140" s="211"/>
    </row>
    <row r="141" ht="18" customHeight="1">
      <c r="A141" s="207"/>
      <c r="B141" s="208"/>
      <c r="C141" s="208"/>
      <c r="D141" s="208"/>
      <c r="E141" s="208"/>
      <c r="F141" s="208"/>
      <c r="G141" s="1194"/>
      <c r="H141" s="208"/>
      <c r="I141" s="208"/>
      <c r="J141" s="208"/>
      <c r="K141" s="208"/>
      <c r="L141" s="208"/>
      <c r="M141" s="208"/>
      <c r="N141" s="208"/>
      <c r="O141" s="1221">
        <v>53</v>
      </c>
      <c r="P141" s="1233">
        <v>0</v>
      </c>
      <c r="Q141" s="1233">
        <v>0</v>
      </c>
      <c r="R141" s="1233">
        <v>0</v>
      </c>
      <c r="S141" s="1233">
        <v>0</v>
      </c>
      <c r="T141" s="1233">
        <v>0</v>
      </c>
      <c r="U141" s="1233">
        <v>0</v>
      </c>
      <c r="V141" s="1233">
        <v>0</v>
      </c>
      <c r="W141" s="1233">
        <v>0</v>
      </c>
      <c r="X141" s="1233">
        <v>0</v>
      </c>
      <c r="Y141" s="1233">
        <v>0</v>
      </c>
      <c r="Z141" s="1233">
        <v>0</v>
      </c>
      <c r="AA141" s="1233">
        <v>0</v>
      </c>
      <c r="AB141" s="1233">
        <v>0</v>
      </c>
      <c r="AC141" s="1233">
        <v>0</v>
      </c>
      <c r="AD141" s="1233">
        <v>0</v>
      </c>
      <c r="AE141" s="1233">
        <v>0</v>
      </c>
      <c r="AF141" s="1233">
        <f t="shared" si="1490" ref="AF141:AU156">$F$62</f>
        <v>0</v>
      </c>
      <c r="AG141" s="1233">
        <f t="shared" si="1455"/>
        <v>0</v>
      </c>
      <c r="AH141" s="1233">
        <f t="shared" si="1420"/>
        <v>0</v>
      </c>
      <c r="AI141" s="1233">
        <f t="shared" si="1385"/>
        <v>0</v>
      </c>
      <c r="AJ141" s="1233">
        <f t="shared" si="1350"/>
        <v>0</v>
      </c>
      <c r="AK141" s="1233">
        <f t="shared" si="1315"/>
        <v>0</v>
      </c>
      <c r="AL141" s="1233">
        <f t="shared" si="1280"/>
        <v>0</v>
      </c>
      <c r="AM141" s="1233">
        <f t="shared" si="1245"/>
        <v>0</v>
      </c>
      <c r="AN141" s="1233">
        <f t="shared" si="1210"/>
        <v>0</v>
      </c>
      <c r="AO141" s="1233">
        <f t="shared" si="1175"/>
        <v>0</v>
      </c>
      <c r="AP141" s="1233">
        <f t="shared" si="1140"/>
        <v>0</v>
      </c>
      <c r="AQ141" s="1233">
        <f t="shared" si="1105"/>
        <v>0</v>
      </c>
      <c r="AR141" s="1233">
        <f t="shared" si="1070"/>
        <v>0</v>
      </c>
      <c r="AS141" s="1233">
        <f t="shared" si="1035"/>
        <v>0</v>
      </c>
      <c r="AT141" s="1233">
        <f t="shared" si="1000"/>
        <v>0</v>
      </c>
      <c r="AU141" s="1233">
        <f t="shared" si="965"/>
        <v>0</v>
      </c>
      <c r="AV141" s="1233">
        <f t="shared" si="1506" ref="AV141:BK156">$F$46</f>
        <v>0</v>
      </c>
      <c r="AW141" s="1233">
        <f t="shared" si="1471"/>
        <v>0</v>
      </c>
      <c r="AX141" s="1233">
        <f t="shared" si="1436"/>
        <v>0</v>
      </c>
      <c r="AY141" s="1233">
        <f t="shared" si="1401"/>
        <v>0</v>
      </c>
      <c r="AZ141" s="1233">
        <f t="shared" si="1366"/>
        <v>0</v>
      </c>
      <c r="BA141" s="1233">
        <f t="shared" si="1331"/>
        <v>0</v>
      </c>
      <c r="BB141" s="1233">
        <f t="shared" si="1296"/>
        <v>0</v>
      </c>
      <c r="BC141" s="1233">
        <f t="shared" si="1261"/>
        <v>0</v>
      </c>
      <c r="BD141" s="1233">
        <f t="shared" si="1226"/>
        <v>91149</v>
      </c>
      <c r="BE141" s="1233">
        <f t="shared" si="1191"/>
        <v>70894</v>
      </c>
      <c r="BF141" s="1233">
        <f t="shared" si="1156"/>
        <v>81022</v>
      </c>
      <c r="BG141" s="1233">
        <f t="shared" si="1121"/>
        <v>91149</v>
      </c>
      <c r="BH141" s="1233">
        <f t="shared" si="1086"/>
        <v>101277</v>
      </c>
      <c r="BI141" s="1233">
        <f t="shared" si="1051"/>
        <v>101277</v>
      </c>
      <c r="BJ141" s="1233">
        <f t="shared" si="1016"/>
        <v>101277</v>
      </c>
      <c r="BK141" s="1233">
        <f t="shared" si="981"/>
        <v>101277</v>
      </c>
      <c r="BL141" s="1233">
        <f t="shared" si="1522" ref="BL141:BZ155">$F$30</f>
        <v>91149</v>
      </c>
      <c r="BM141" s="1233">
        <f t="shared" si="1487"/>
        <v>81022</v>
      </c>
      <c r="BN141" s="1233">
        <f t="shared" si="1452"/>
        <v>60766</v>
      </c>
      <c r="BO141" s="1233">
        <f t="shared" si="1417"/>
        <v>40511</v>
      </c>
      <c r="BP141" s="1276">
        <v>0</v>
      </c>
      <c r="BQ141" s="1184"/>
      <c r="BR141" s="1184"/>
      <c r="BS141" s="1184"/>
      <c r="BT141" s="1184"/>
      <c r="BU141" s="1184"/>
      <c r="BV141" s="1184"/>
      <c r="BW141" s="1184"/>
      <c r="BX141" s="1184"/>
      <c r="BY141" s="1184"/>
      <c r="BZ141" s="208"/>
      <c r="CA141" s="208"/>
      <c r="CB141" s="208"/>
      <c r="CC141" s="208"/>
      <c r="CD141" s="211"/>
    </row>
    <row r="142" ht="18" customHeight="1">
      <c r="A142" s="207"/>
      <c r="B142" s="208"/>
      <c r="C142" s="208"/>
      <c r="D142" s="208"/>
      <c r="E142" s="208"/>
      <c r="F142" s="208"/>
      <c r="G142" s="1194"/>
      <c r="H142" s="208"/>
      <c r="I142" s="208"/>
      <c r="J142" s="208"/>
      <c r="K142" s="208"/>
      <c r="L142" s="208"/>
      <c r="M142" s="208"/>
      <c r="N142" s="208"/>
      <c r="O142" s="1221">
        <v>54</v>
      </c>
      <c r="P142" s="1233">
        <v>0</v>
      </c>
      <c r="Q142" s="1233">
        <v>0</v>
      </c>
      <c r="R142" s="1233">
        <v>0</v>
      </c>
      <c r="S142" s="1233">
        <v>0</v>
      </c>
      <c r="T142" s="1233">
        <v>0</v>
      </c>
      <c r="U142" s="1233">
        <v>0</v>
      </c>
      <c r="V142" s="1233">
        <v>0</v>
      </c>
      <c r="W142" s="1233">
        <v>0</v>
      </c>
      <c r="X142" s="1233">
        <v>0</v>
      </c>
      <c r="Y142" s="1233">
        <v>0</v>
      </c>
      <c r="Z142" s="1233">
        <v>0</v>
      </c>
      <c r="AA142" s="1233">
        <v>0</v>
      </c>
      <c r="AB142" s="1233">
        <v>0</v>
      </c>
      <c r="AC142" s="1233">
        <v>0</v>
      </c>
      <c r="AD142" s="1233">
        <v>0</v>
      </c>
      <c r="AE142" s="1233">
        <v>0</v>
      </c>
      <c r="AF142" s="1233">
        <v>0</v>
      </c>
      <c r="AG142" s="1233">
        <f t="shared" si="1490"/>
        <v>0</v>
      </c>
      <c r="AH142" s="1233">
        <f t="shared" si="1455"/>
        <v>0</v>
      </c>
      <c r="AI142" s="1233">
        <f t="shared" si="1420"/>
        <v>0</v>
      </c>
      <c r="AJ142" s="1233">
        <f t="shared" si="1385"/>
        <v>0</v>
      </c>
      <c r="AK142" s="1233">
        <f t="shared" si="1350"/>
        <v>0</v>
      </c>
      <c r="AL142" s="1233">
        <f t="shared" si="1315"/>
        <v>0</v>
      </c>
      <c r="AM142" s="1233">
        <f t="shared" si="1280"/>
        <v>0</v>
      </c>
      <c r="AN142" s="1233">
        <f t="shared" si="1245"/>
        <v>0</v>
      </c>
      <c r="AO142" s="1233">
        <f t="shared" si="1210"/>
        <v>0</v>
      </c>
      <c r="AP142" s="1233">
        <f t="shared" si="1175"/>
        <v>0</v>
      </c>
      <c r="AQ142" s="1233">
        <f t="shared" si="1140"/>
        <v>0</v>
      </c>
      <c r="AR142" s="1233">
        <f t="shared" si="1105"/>
        <v>0</v>
      </c>
      <c r="AS142" s="1233">
        <f t="shared" si="1070"/>
        <v>0</v>
      </c>
      <c r="AT142" s="1233">
        <f t="shared" si="1035"/>
        <v>0</v>
      </c>
      <c r="AU142" s="1233">
        <f t="shared" si="1000"/>
        <v>0</v>
      </c>
      <c r="AV142" s="1233">
        <f t="shared" si="1541" ref="AV142:BK157">$F$47</f>
        <v>0</v>
      </c>
      <c r="AW142" s="1233">
        <f t="shared" si="1506"/>
        <v>0</v>
      </c>
      <c r="AX142" s="1233">
        <f t="shared" si="1471"/>
        <v>0</v>
      </c>
      <c r="AY142" s="1233">
        <f t="shared" si="1436"/>
        <v>0</v>
      </c>
      <c r="AZ142" s="1233">
        <f t="shared" si="1401"/>
        <v>0</v>
      </c>
      <c r="BA142" s="1233">
        <f t="shared" si="1366"/>
        <v>0</v>
      </c>
      <c r="BB142" s="1233">
        <f t="shared" si="1331"/>
        <v>0</v>
      </c>
      <c r="BC142" s="1233">
        <f t="shared" si="1296"/>
        <v>0</v>
      </c>
      <c r="BD142" s="1233">
        <f t="shared" si="1261"/>
        <v>0</v>
      </c>
      <c r="BE142" s="1233">
        <f t="shared" si="1226"/>
        <v>91149</v>
      </c>
      <c r="BF142" s="1233">
        <f t="shared" si="1191"/>
        <v>70894</v>
      </c>
      <c r="BG142" s="1233">
        <f t="shared" si="1156"/>
        <v>81022</v>
      </c>
      <c r="BH142" s="1233">
        <f t="shared" si="1121"/>
        <v>91149</v>
      </c>
      <c r="BI142" s="1233">
        <f t="shared" si="1086"/>
        <v>101277</v>
      </c>
      <c r="BJ142" s="1233">
        <f t="shared" si="1051"/>
        <v>101277</v>
      </c>
      <c r="BK142" s="1233">
        <f t="shared" si="1016"/>
        <v>101277</v>
      </c>
      <c r="BL142" s="1233">
        <f t="shared" si="1557" ref="BL142:BZ156">$F$31</f>
        <v>101277</v>
      </c>
      <c r="BM142" s="1233">
        <f t="shared" si="1522"/>
        <v>91149</v>
      </c>
      <c r="BN142" s="1233">
        <f t="shared" si="1487"/>
        <v>81022</v>
      </c>
      <c r="BO142" s="1233">
        <f t="shared" si="1452"/>
        <v>60766</v>
      </c>
      <c r="BP142" s="1233">
        <f t="shared" si="1417"/>
        <v>40511</v>
      </c>
      <c r="BQ142" s="1276">
        <v>0</v>
      </c>
      <c r="BR142" s="1184"/>
      <c r="BS142" s="1184"/>
      <c r="BT142" s="1184"/>
      <c r="BU142" s="1184"/>
      <c r="BV142" s="1184"/>
      <c r="BW142" s="1184"/>
      <c r="BX142" s="1184"/>
      <c r="BY142" s="1184"/>
      <c r="BZ142" s="208"/>
      <c r="CA142" s="208"/>
      <c r="CB142" s="208"/>
      <c r="CC142" s="208"/>
      <c r="CD142" s="211"/>
    </row>
    <row r="143" ht="18" customHeight="1">
      <c r="A143" s="207"/>
      <c r="B143" s="208"/>
      <c r="C143" s="208"/>
      <c r="D143" s="208"/>
      <c r="E143" s="208"/>
      <c r="F143" s="208"/>
      <c r="G143" s="1194"/>
      <c r="H143" s="208"/>
      <c r="I143" s="208"/>
      <c r="J143" s="208"/>
      <c r="K143" s="208"/>
      <c r="L143" s="208"/>
      <c r="M143" s="208"/>
      <c r="N143" s="208"/>
      <c r="O143" s="1221">
        <v>55</v>
      </c>
      <c r="P143" s="1233">
        <v>0</v>
      </c>
      <c r="Q143" s="1233">
        <v>0</v>
      </c>
      <c r="R143" s="1233">
        <v>0</v>
      </c>
      <c r="S143" s="1233">
        <v>0</v>
      </c>
      <c r="T143" s="1233">
        <v>0</v>
      </c>
      <c r="U143" s="1233">
        <v>0</v>
      </c>
      <c r="V143" s="1233">
        <v>0</v>
      </c>
      <c r="W143" s="1233">
        <v>0</v>
      </c>
      <c r="X143" s="1233">
        <v>0</v>
      </c>
      <c r="Y143" s="1233">
        <v>0</v>
      </c>
      <c r="Z143" s="1233">
        <v>0</v>
      </c>
      <c r="AA143" s="1233">
        <v>0</v>
      </c>
      <c r="AB143" s="1233">
        <v>0</v>
      </c>
      <c r="AC143" s="1233">
        <v>0</v>
      </c>
      <c r="AD143" s="1233">
        <v>0</v>
      </c>
      <c r="AE143" s="1233">
        <v>0</v>
      </c>
      <c r="AF143" s="1233">
        <v>0</v>
      </c>
      <c r="AG143" s="1233">
        <v>0</v>
      </c>
      <c r="AH143" s="1233">
        <f t="shared" si="1490"/>
        <v>0</v>
      </c>
      <c r="AI143" s="1233">
        <f t="shared" si="1455"/>
        <v>0</v>
      </c>
      <c r="AJ143" s="1233">
        <f t="shared" si="1420"/>
        <v>0</v>
      </c>
      <c r="AK143" s="1233">
        <f t="shared" si="1385"/>
        <v>0</v>
      </c>
      <c r="AL143" s="1233">
        <f t="shared" si="1350"/>
        <v>0</v>
      </c>
      <c r="AM143" s="1233">
        <f t="shared" si="1315"/>
        <v>0</v>
      </c>
      <c r="AN143" s="1233">
        <f t="shared" si="1280"/>
        <v>0</v>
      </c>
      <c r="AO143" s="1233">
        <f t="shared" si="1245"/>
        <v>0</v>
      </c>
      <c r="AP143" s="1233">
        <f t="shared" si="1210"/>
        <v>0</v>
      </c>
      <c r="AQ143" s="1233">
        <f t="shared" si="1175"/>
        <v>0</v>
      </c>
      <c r="AR143" s="1233">
        <f t="shared" si="1140"/>
        <v>0</v>
      </c>
      <c r="AS143" s="1233">
        <f t="shared" si="1105"/>
        <v>0</v>
      </c>
      <c r="AT143" s="1233">
        <f t="shared" si="1070"/>
        <v>0</v>
      </c>
      <c r="AU143" s="1233">
        <f t="shared" si="1035"/>
        <v>0</v>
      </c>
      <c r="AV143" s="1233">
        <f t="shared" si="1576" ref="AV143:BK158">$F$48</f>
        <v>0</v>
      </c>
      <c r="AW143" s="1233">
        <f t="shared" si="1541"/>
        <v>0</v>
      </c>
      <c r="AX143" s="1233">
        <f t="shared" si="1506"/>
        <v>0</v>
      </c>
      <c r="AY143" s="1233">
        <f t="shared" si="1471"/>
        <v>0</v>
      </c>
      <c r="AZ143" s="1233">
        <f t="shared" si="1436"/>
        <v>0</v>
      </c>
      <c r="BA143" s="1233">
        <f t="shared" si="1401"/>
        <v>0</v>
      </c>
      <c r="BB143" s="1233">
        <f t="shared" si="1366"/>
        <v>0</v>
      </c>
      <c r="BC143" s="1233">
        <f t="shared" si="1331"/>
        <v>0</v>
      </c>
      <c r="BD143" s="1233">
        <f t="shared" si="1296"/>
        <v>0</v>
      </c>
      <c r="BE143" s="1233">
        <f t="shared" si="1261"/>
        <v>0</v>
      </c>
      <c r="BF143" s="1233">
        <f t="shared" si="1226"/>
        <v>91149</v>
      </c>
      <c r="BG143" s="1233">
        <f t="shared" si="1191"/>
        <v>70894</v>
      </c>
      <c r="BH143" s="1233">
        <f t="shared" si="1156"/>
        <v>81022</v>
      </c>
      <c r="BI143" s="1233">
        <f t="shared" si="1121"/>
        <v>91149</v>
      </c>
      <c r="BJ143" s="1233">
        <f t="shared" si="1086"/>
        <v>101277</v>
      </c>
      <c r="BK143" s="1233">
        <f t="shared" si="1051"/>
        <v>101277</v>
      </c>
      <c r="BL143" s="1233">
        <f t="shared" si="1592" ref="BL143:BZ157">$F$32</f>
        <v>101277</v>
      </c>
      <c r="BM143" s="1233">
        <f t="shared" si="1557"/>
        <v>101277</v>
      </c>
      <c r="BN143" s="1233">
        <f t="shared" si="1522"/>
        <v>91149</v>
      </c>
      <c r="BO143" s="1233">
        <f t="shared" si="1487"/>
        <v>81022</v>
      </c>
      <c r="BP143" s="1233">
        <f t="shared" si="1452"/>
        <v>60766</v>
      </c>
      <c r="BQ143" s="1233">
        <f t="shared" si="1417"/>
        <v>40511</v>
      </c>
      <c r="BR143" s="1276">
        <v>0</v>
      </c>
      <c r="BS143" s="1184"/>
      <c r="BT143" s="1184"/>
      <c r="BU143" s="1184"/>
      <c r="BV143" s="1184"/>
      <c r="BW143" s="1184"/>
      <c r="BX143" s="1184"/>
      <c r="BY143" s="1184"/>
      <c r="BZ143" s="208"/>
      <c r="CA143" s="208"/>
      <c r="CB143" s="208"/>
      <c r="CC143" s="208"/>
      <c r="CD143" s="211"/>
    </row>
    <row r="144" ht="18" customHeight="1">
      <c r="A144" s="207"/>
      <c r="B144" s="208"/>
      <c r="C144" s="208"/>
      <c r="D144" s="208"/>
      <c r="E144" s="208"/>
      <c r="F144" s="208"/>
      <c r="G144" s="1194"/>
      <c r="H144" s="208"/>
      <c r="I144" s="208"/>
      <c r="J144" s="208"/>
      <c r="K144" s="208"/>
      <c r="L144" s="208"/>
      <c r="M144" s="208"/>
      <c r="N144" s="208"/>
      <c r="O144" s="1221">
        <v>56</v>
      </c>
      <c r="P144" s="1233">
        <v>0</v>
      </c>
      <c r="Q144" s="1233">
        <v>0</v>
      </c>
      <c r="R144" s="1233">
        <v>0</v>
      </c>
      <c r="S144" s="1233">
        <v>0</v>
      </c>
      <c r="T144" s="1233">
        <v>0</v>
      </c>
      <c r="U144" s="1233">
        <v>0</v>
      </c>
      <c r="V144" s="1233">
        <v>0</v>
      </c>
      <c r="W144" s="1233">
        <v>0</v>
      </c>
      <c r="X144" s="1233">
        <v>0</v>
      </c>
      <c r="Y144" s="1233">
        <v>0</v>
      </c>
      <c r="Z144" s="1233">
        <v>0</v>
      </c>
      <c r="AA144" s="1233">
        <v>0</v>
      </c>
      <c r="AB144" s="1233">
        <v>0</v>
      </c>
      <c r="AC144" s="1233">
        <v>0</v>
      </c>
      <c r="AD144" s="1233">
        <v>0</v>
      </c>
      <c r="AE144" s="1233">
        <v>0</v>
      </c>
      <c r="AF144" s="1233">
        <v>0</v>
      </c>
      <c r="AG144" s="1233">
        <v>0</v>
      </c>
      <c r="AH144" s="1233">
        <v>0</v>
      </c>
      <c r="AI144" s="1233">
        <f t="shared" si="1490"/>
        <v>0</v>
      </c>
      <c r="AJ144" s="1233">
        <f t="shared" si="1455"/>
        <v>0</v>
      </c>
      <c r="AK144" s="1233">
        <f t="shared" si="1420"/>
        <v>0</v>
      </c>
      <c r="AL144" s="1233">
        <f t="shared" si="1385"/>
        <v>0</v>
      </c>
      <c r="AM144" s="1233">
        <f t="shared" si="1350"/>
        <v>0</v>
      </c>
      <c r="AN144" s="1233">
        <f t="shared" si="1315"/>
        <v>0</v>
      </c>
      <c r="AO144" s="1233">
        <f t="shared" si="1280"/>
        <v>0</v>
      </c>
      <c r="AP144" s="1233">
        <f t="shared" si="1245"/>
        <v>0</v>
      </c>
      <c r="AQ144" s="1233">
        <f t="shared" si="1210"/>
        <v>0</v>
      </c>
      <c r="AR144" s="1233">
        <f t="shared" si="1175"/>
        <v>0</v>
      </c>
      <c r="AS144" s="1233">
        <f t="shared" si="1140"/>
        <v>0</v>
      </c>
      <c r="AT144" s="1233">
        <f t="shared" si="1105"/>
        <v>0</v>
      </c>
      <c r="AU144" s="1233">
        <f t="shared" si="1070"/>
        <v>0</v>
      </c>
      <c r="AV144" s="1233">
        <f t="shared" si="1611" ref="AV144:BK159">$F$49</f>
        <v>0</v>
      </c>
      <c r="AW144" s="1233">
        <f t="shared" si="1576"/>
        <v>0</v>
      </c>
      <c r="AX144" s="1233">
        <f t="shared" si="1541"/>
        <v>0</v>
      </c>
      <c r="AY144" s="1233">
        <f t="shared" si="1506"/>
        <v>0</v>
      </c>
      <c r="AZ144" s="1233">
        <f t="shared" si="1471"/>
        <v>0</v>
      </c>
      <c r="BA144" s="1233">
        <f t="shared" si="1436"/>
        <v>0</v>
      </c>
      <c r="BB144" s="1233">
        <f t="shared" si="1401"/>
        <v>0</v>
      </c>
      <c r="BC144" s="1233">
        <f t="shared" si="1366"/>
        <v>0</v>
      </c>
      <c r="BD144" s="1233">
        <f t="shared" si="1331"/>
        <v>0</v>
      </c>
      <c r="BE144" s="1233">
        <f t="shared" si="1296"/>
        <v>0</v>
      </c>
      <c r="BF144" s="1233">
        <f t="shared" si="1261"/>
        <v>0</v>
      </c>
      <c r="BG144" s="1233">
        <f t="shared" si="1226"/>
        <v>91149</v>
      </c>
      <c r="BH144" s="1233">
        <f t="shared" si="1191"/>
        <v>70894</v>
      </c>
      <c r="BI144" s="1233">
        <f t="shared" si="1156"/>
        <v>81022</v>
      </c>
      <c r="BJ144" s="1233">
        <f t="shared" si="1121"/>
        <v>91149</v>
      </c>
      <c r="BK144" s="1233">
        <f t="shared" si="1086"/>
        <v>101277</v>
      </c>
      <c r="BL144" s="1233">
        <f t="shared" si="1627" ref="BL144:BZ158">$F$33</f>
        <v>101277</v>
      </c>
      <c r="BM144" s="1233">
        <f t="shared" si="1592"/>
        <v>101277</v>
      </c>
      <c r="BN144" s="1233">
        <f t="shared" si="1557"/>
        <v>101277</v>
      </c>
      <c r="BO144" s="1233">
        <f t="shared" si="1522"/>
        <v>91149</v>
      </c>
      <c r="BP144" s="1233">
        <f t="shared" si="1487"/>
        <v>81022</v>
      </c>
      <c r="BQ144" s="1233">
        <f t="shared" si="1452"/>
        <v>60766</v>
      </c>
      <c r="BR144" s="1233">
        <f t="shared" si="1417"/>
        <v>40511</v>
      </c>
      <c r="BS144" s="1276">
        <v>0</v>
      </c>
      <c r="BT144" s="1184"/>
      <c r="BU144" s="1184"/>
      <c r="BV144" s="1184"/>
      <c r="BW144" s="1184"/>
      <c r="BX144" s="1184"/>
      <c r="BY144" s="1184"/>
      <c r="BZ144" s="208"/>
      <c r="CA144" s="208"/>
      <c r="CB144" s="208"/>
      <c r="CC144" s="208"/>
      <c r="CD144" s="211"/>
    </row>
    <row r="145" ht="18" customHeight="1">
      <c r="A145" s="207"/>
      <c r="B145" s="208"/>
      <c r="C145" s="208"/>
      <c r="D145" s="208"/>
      <c r="E145" s="208"/>
      <c r="F145" s="208"/>
      <c r="G145" s="1194"/>
      <c r="H145" s="208"/>
      <c r="I145" s="208"/>
      <c r="J145" s="208"/>
      <c r="K145" s="208"/>
      <c r="L145" s="208"/>
      <c r="M145" s="208"/>
      <c r="N145" s="208"/>
      <c r="O145" s="1221">
        <v>57</v>
      </c>
      <c r="P145" s="1233">
        <v>0</v>
      </c>
      <c r="Q145" s="1233">
        <v>0</v>
      </c>
      <c r="R145" s="1233">
        <v>0</v>
      </c>
      <c r="S145" s="1233">
        <v>0</v>
      </c>
      <c r="T145" s="1233">
        <v>0</v>
      </c>
      <c r="U145" s="1233">
        <v>0</v>
      </c>
      <c r="V145" s="1233">
        <v>0</v>
      </c>
      <c r="W145" s="1233">
        <v>0</v>
      </c>
      <c r="X145" s="1233">
        <v>0</v>
      </c>
      <c r="Y145" s="1233">
        <v>0</v>
      </c>
      <c r="Z145" s="1233">
        <v>0</v>
      </c>
      <c r="AA145" s="1233">
        <v>0</v>
      </c>
      <c r="AB145" s="1233">
        <v>0</v>
      </c>
      <c r="AC145" s="1233">
        <v>0</v>
      </c>
      <c r="AD145" s="1233">
        <v>0</v>
      </c>
      <c r="AE145" s="1233">
        <v>0</v>
      </c>
      <c r="AF145" s="1233">
        <v>0</v>
      </c>
      <c r="AG145" s="1233">
        <v>0</v>
      </c>
      <c r="AH145" s="1233">
        <v>0</v>
      </c>
      <c r="AI145" s="1233">
        <v>0</v>
      </c>
      <c r="AJ145" s="1233">
        <f t="shared" si="1490"/>
        <v>0</v>
      </c>
      <c r="AK145" s="1233">
        <f t="shared" si="1455"/>
        <v>0</v>
      </c>
      <c r="AL145" s="1233">
        <f t="shared" si="1420"/>
        <v>0</v>
      </c>
      <c r="AM145" s="1233">
        <f t="shared" si="1385"/>
        <v>0</v>
      </c>
      <c r="AN145" s="1233">
        <f t="shared" si="1350"/>
        <v>0</v>
      </c>
      <c r="AO145" s="1233">
        <f t="shared" si="1315"/>
        <v>0</v>
      </c>
      <c r="AP145" s="1233">
        <f t="shared" si="1280"/>
        <v>0</v>
      </c>
      <c r="AQ145" s="1233">
        <f t="shared" si="1245"/>
        <v>0</v>
      </c>
      <c r="AR145" s="1233">
        <f t="shared" si="1210"/>
        <v>0</v>
      </c>
      <c r="AS145" s="1233">
        <f t="shared" si="1175"/>
        <v>0</v>
      </c>
      <c r="AT145" s="1233">
        <f t="shared" si="1140"/>
        <v>0</v>
      </c>
      <c r="AU145" s="1233">
        <f t="shared" si="1105"/>
        <v>0</v>
      </c>
      <c r="AV145" s="1233">
        <f t="shared" si="1646" ref="AV145:BK160">$F$50</f>
        <v>0</v>
      </c>
      <c r="AW145" s="1233">
        <f t="shared" si="1611"/>
        <v>0</v>
      </c>
      <c r="AX145" s="1233">
        <f t="shared" si="1576"/>
        <v>0</v>
      </c>
      <c r="AY145" s="1233">
        <f t="shared" si="1541"/>
        <v>0</v>
      </c>
      <c r="AZ145" s="1233">
        <f t="shared" si="1506"/>
        <v>0</v>
      </c>
      <c r="BA145" s="1233">
        <f t="shared" si="1471"/>
        <v>0</v>
      </c>
      <c r="BB145" s="1233">
        <f t="shared" si="1436"/>
        <v>0</v>
      </c>
      <c r="BC145" s="1233">
        <f t="shared" si="1401"/>
        <v>0</v>
      </c>
      <c r="BD145" s="1233">
        <f t="shared" si="1366"/>
        <v>0</v>
      </c>
      <c r="BE145" s="1233">
        <f t="shared" si="1331"/>
        <v>0</v>
      </c>
      <c r="BF145" s="1233">
        <f t="shared" si="1296"/>
        <v>0</v>
      </c>
      <c r="BG145" s="1233">
        <f t="shared" si="1261"/>
        <v>0</v>
      </c>
      <c r="BH145" s="1233">
        <f t="shared" si="1226"/>
        <v>91149</v>
      </c>
      <c r="BI145" s="1233">
        <f t="shared" si="1191"/>
        <v>70894</v>
      </c>
      <c r="BJ145" s="1233">
        <f t="shared" si="1156"/>
        <v>81022</v>
      </c>
      <c r="BK145" s="1233">
        <f t="shared" si="1121"/>
        <v>91149</v>
      </c>
      <c r="BL145" s="1233">
        <f t="shared" si="1662" ref="BL145:BZ159">$F$34</f>
        <v>101277</v>
      </c>
      <c r="BM145" s="1233">
        <f t="shared" si="1627"/>
        <v>101277</v>
      </c>
      <c r="BN145" s="1233">
        <f t="shared" si="1592"/>
        <v>101277</v>
      </c>
      <c r="BO145" s="1233">
        <f t="shared" si="1557"/>
        <v>101277</v>
      </c>
      <c r="BP145" s="1233">
        <f t="shared" si="1522"/>
        <v>91149</v>
      </c>
      <c r="BQ145" s="1233">
        <f t="shared" si="1487"/>
        <v>81022</v>
      </c>
      <c r="BR145" s="1233">
        <f t="shared" si="1452"/>
        <v>60766</v>
      </c>
      <c r="BS145" s="1233">
        <f t="shared" si="1417"/>
        <v>40511</v>
      </c>
      <c r="BT145" s="1276">
        <v>0</v>
      </c>
      <c r="BU145" s="1184"/>
      <c r="BV145" s="1184"/>
      <c r="BW145" s="1184"/>
      <c r="BX145" s="1184"/>
      <c r="BY145" s="1184"/>
      <c r="BZ145" s="208"/>
      <c r="CA145" s="208"/>
      <c r="CB145" s="208"/>
      <c r="CC145" s="208"/>
      <c r="CD145" s="211"/>
    </row>
    <row r="146" ht="18" customHeight="1">
      <c r="A146" s="207"/>
      <c r="B146" s="208"/>
      <c r="C146" s="208"/>
      <c r="D146" s="208"/>
      <c r="E146" s="208"/>
      <c r="F146" s="208"/>
      <c r="G146" s="1194"/>
      <c r="H146" s="208"/>
      <c r="I146" s="208"/>
      <c r="J146" s="208"/>
      <c r="K146" s="208"/>
      <c r="L146" s="208"/>
      <c r="M146" s="208"/>
      <c r="N146" s="208"/>
      <c r="O146" s="1221">
        <v>58</v>
      </c>
      <c r="P146" s="1233">
        <v>0</v>
      </c>
      <c r="Q146" s="1233">
        <v>0</v>
      </c>
      <c r="R146" s="1233">
        <v>0</v>
      </c>
      <c r="S146" s="1233">
        <v>0</v>
      </c>
      <c r="T146" s="1233">
        <v>0</v>
      </c>
      <c r="U146" s="1233">
        <v>0</v>
      </c>
      <c r="V146" s="1233">
        <v>0</v>
      </c>
      <c r="W146" s="1233">
        <v>0</v>
      </c>
      <c r="X146" s="1233">
        <v>0</v>
      </c>
      <c r="Y146" s="1233">
        <v>0</v>
      </c>
      <c r="Z146" s="1233">
        <v>0</v>
      </c>
      <c r="AA146" s="1233">
        <v>0</v>
      </c>
      <c r="AB146" s="1233">
        <v>0</v>
      </c>
      <c r="AC146" s="1233">
        <v>0</v>
      </c>
      <c r="AD146" s="1233">
        <v>0</v>
      </c>
      <c r="AE146" s="1233">
        <v>0</v>
      </c>
      <c r="AF146" s="1233">
        <v>0</v>
      </c>
      <c r="AG146" s="1233">
        <v>0</v>
      </c>
      <c r="AH146" s="1233">
        <v>0</v>
      </c>
      <c r="AI146" s="1233">
        <v>0</v>
      </c>
      <c r="AJ146" s="1233">
        <v>0</v>
      </c>
      <c r="AK146" s="1233">
        <f t="shared" si="1490"/>
        <v>0</v>
      </c>
      <c r="AL146" s="1233">
        <f t="shared" si="1455"/>
        <v>0</v>
      </c>
      <c r="AM146" s="1233">
        <f t="shared" si="1420"/>
        <v>0</v>
      </c>
      <c r="AN146" s="1233">
        <f t="shared" si="1385"/>
        <v>0</v>
      </c>
      <c r="AO146" s="1233">
        <f t="shared" si="1350"/>
        <v>0</v>
      </c>
      <c r="AP146" s="1233">
        <f t="shared" si="1315"/>
        <v>0</v>
      </c>
      <c r="AQ146" s="1233">
        <f t="shared" si="1280"/>
        <v>0</v>
      </c>
      <c r="AR146" s="1233">
        <f t="shared" si="1245"/>
        <v>0</v>
      </c>
      <c r="AS146" s="1233">
        <f t="shared" si="1210"/>
        <v>0</v>
      </c>
      <c r="AT146" s="1233">
        <f t="shared" si="1175"/>
        <v>0</v>
      </c>
      <c r="AU146" s="1233">
        <f t="shared" si="1140"/>
        <v>0</v>
      </c>
      <c r="AV146" s="1233">
        <f t="shared" si="1681" ref="AV146:BK161">$F$51</f>
        <v>0</v>
      </c>
      <c r="AW146" s="1233">
        <f t="shared" si="1646"/>
        <v>0</v>
      </c>
      <c r="AX146" s="1233">
        <f t="shared" si="1611"/>
        <v>0</v>
      </c>
      <c r="AY146" s="1233">
        <f t="shared" si="1576"/>
        <v>0</v>
      </c>
      <c r="AZ146" s="1233">
        <f t="shared" si="1541"/>
        <v>0</v>
      </c>
      <c r="BA146" s="1233">
        <f t="shared" si="1506"/>
        <v>0</v>
      </c>
      <c r="BB146" s="1233">
        <f t="shared" si="1471"/>
        <v>0</v>
      </c>
      <c r="BC146" s="1233">
        <f t="shared" si="1436"/>
        <v>0</v>
      </c>
      <c r="BD146" s="1233">
        <f t="shared" si="1401"/>
        <v>0</v>
      </c>
      <c r="BE146" s="1233">
        <f t="shared" si="1366"/>
        <v>0</v>
      </c>
      <c r="BF146" s="1233">
        <f t="shared" si="1331"/>
        <v>0</v>
      </c>
      <c r="BG146" s="1233">
        <f t="shared" si="1296"/>
        <v>0</v>
      </c>
      <c r="BH146" s="1233">
        <f t="shared" si="1261"/>
        <v>0</v>
      </c>
      <c r="BI146" s="1233">
        <f t="shared" si="1226"/>
        <v>91149</v>
      </c>
      <c r="BJ146" s="1233">
        <f t="shared" si="1191"/>
        <v>70894</v>
      </c>
      <c r="BK146" s="1233">
        <f t="shared" si="1156"/>
        <v>81022</v>
      </c>
      <c r="BL146" s="1233">
        <f t="shared" si="1697" ref="BL146:BZ160">$F$35</f>
        <v>91149</v>
      </c>
      <c r="BM146" s="1233">
        <f t="shared" si="1662"/>
        <v>101277</v>
      </c>
      <c r="BN146" s="1233">
        <f t="shared" si="1627"/>
        <v>101277</v>
      </c>
      <c r="BO146" s="1233">
        <f t="shared" si="1592"/>
        <v>101277</v>
      </c>
      <c r="BP146" s="1233">
        <f t="shared" si="1557"/>
        <v>101277</v>
      </c>
      <c r="BQ146" s="1233">
        <f t="shared" si="1522"/>
        <v>91149</v>
      </c>
      <c r="BR146" s="1233">
        <f t="shared" si="1487"/>
        <v>81022</v>
      </c>
      <c r="BS146" s="1233">
        <f t="shared" si="1452"/>
        <v>60766</v>
      </c>
      <c r="BT146" s="1233">
        <f t="shared" si="1417"/>
        <v>40511</v>
      </c>
      <c r="BU146" s="1276">
        <v>0</v>
      </c>
      <c r="BV146" s="1184"/>
      <c r="BW146" s="1184"/>
      <c r="BX146" s="1184"/>
      <c r="BY146" s="1184"/>
      <c r="BZ146" s="208"/>
      <c r="CA146" s="208"/>
      <c r="CB146" s="208"/>
      <c r="CC146" s="208"/>
      <c r="CD146" s="211"/>
    </row>
    <row r="147" ht="18" customHeight="1">
      <c r="A147" s="207"/>
      <c r="B147" s="208"/>
      <c r="C147" s="208"/>
      <c r="D147" s="208"/>
      <c r="E147" s="208"/>
      <c r="F147" s="208"/>
      <c r="G147" s="1194"/>
      <c r="H147" s="208"/>
      <c r="I147" s="208"/>
      <c r="J147" s="208"/>
      <c r="K147" s="208"/>
      <c r="L147" s="208"/>
      <c r="M147" s="208"/>
      <c r="N147" s="208"/>
      <c r="O147" s="1221">
        <v>59</v>
      </c>
      <c r="P147" s="1233">
        <v>0</v>
      </c>
      <c r="Q147" s="1233">
        <v>0</v>
      </c>
      <c r="R147" s="1233">
        <v>0</v>
      </c>
      <c r="S147" s="1233">
        <v>0</v>
      </c>
      <c r="T147" s="1233">
        <v>0</v>
      </c>
      <c r="U147" s="1233">
        <v>0</v>
      </c>
      <c r="V147" s="1233">
        <v>0</v>
      </c>
      <c r="W147" s="1233">
        <v>0</v>
      </c>
      <c r="X147" s="1233">
        <v>0</v>
      </c>
      <c r="Y147" s="1233">
        <v>0</v>
      </c>
      <c r="Z147" s="1233">
        <v>0</v>
      </c>
      <c r="AA147" s="1233">
        <v>0</v>
      </c>
      <c r="AB147" s="1233">
        <v>0</v>
      </c>
      <c r="AC147" s="1233">
        <v>0</v>
      </c>
      <c r="AD147" s="1233">
        <v>0</v>
      </c>
      <c r="AE147" s="1233">
        <v>0</v>
      </c>
      <c r="AF147" s="1233">
        <v>0</v>
      </c>
      <c r="AG147" s="1233">
        <v>0</v>
      </c>
      <c r="AH147" s="1233">
        <v>0</v>
      </c>
      <c r="AI147" s="1233">
        <v>0</v>
      </c>
      <c r="AJ147" s="1233">
        <v>0</v>
      </c>
      <c r="AK147" s="1233">
        <f t="shared" si="1280"/>
        <v>0</v>
      </c>
      <c r="AL147" s="1233">
        <f t="shared" si="1490"/>
        <v>0</v>
      </c>
      <c r="AM147" s="1233">
        <f t="shared" si="1455"/>
        <v>0</v>
      </c>
      <c r="AN147" s="1233">
        <f t="shared" si="1420"/>
        <v>0</v>
      </c>
      <c r="AO147" s="1233">
        <f t="shared" si="1385"/>
        <v>0</v>
      </c>
      <c r="AP147" s="1233">
        <f t="shared" si="1350"/>
        <v>0</v>
      </c>
      <c r="AQ147" s="1233">
        <f t="shared" si="1315"/>
        <v>0</v>
      </c>
      <c r="AR147" s="1233">
        <f t="shared" si="1280"/>
        <v>0</v>
      </c>
      <c r="AS147" s="1233">
        <f t="shared" si="1245"/>
        <v>0</v>
      </c>
      <c r="AT147" s="1233">
        <f t="shared" si="1210"/>
        <v>0</v>
      </c>
      <c r="AU147" s="1233">
        <f t="shared" si="1175"/>
        <v>0</v>
      </c>
      <c r="AV147" s="1233">
        <f t="shared" si="1717" ref="AV147:BK162">$F$52</f>
        <v>0</v>
      </c>
      <c r="AW147" s="1233">
        <f t="shared" si="1681"/>
        <v>0</v>
      </c>
      <c r="AX147" s="1233">
        <f t="shared" si="1646"/>
        <v>0</v>
      </c>
      <c r="AY147" s="1233">
        <f t="shared" si="1611"/>
        <v>0</v>
      </c>
      <c r="AZ147" s="1233">
        <f t="shared" si="1576"/>
        <v>0</v>
      </c>
      <c r="BA147" s="1233">
        <f t="shared" si="1541"/>
        <v>0</v>
      </c>
      <c r="BB147" s="1233">
        <f t="shared" si="1506"/>
        <v>0</v>
      </c>
      <c r="BC147" s="1233">
        <f t="shared" si="1471"/>
        <v>0</v>
      </c>
      <c r="BD147" s="1233">
        <f t="shared" si="1436"/>
        <v>0</v>
      </c>
      <c r="BE147" s="1233">
        <f t="shared" si="1401"/>
        <v>0</v>
      </c>
      <c r="BF147" s="1233">
        <f t="shared" si="1366"/>
        <v>0</v>
      </c>
      <c r="BG147" s="1233">
        <f t="shared" si="1331"/>
        <v>0</v>
      </c>
      <c r="BH147" s="1233">
        <f t="shared" si="1296"/>
        <v>0</v>
      </c>
      <c r="BI147" s="1233">
        <f t="shared" si="1261"/>
        <v>0</v>
      </c>
      <c r="BJ147" s="1233">
        <f t="shared" si="1226"/>
        <v>91149</v>
      </c>
      <c r="BK147" s="1233">
        <f t="shared" si="1191"/>
        <v>70894</v>
      </c>
      <c r="BL147" s="1233">
        <f t="shared" si="1733" ref="BL147:BZ161">$F$36</f>
        <v>81022</v>
      </c>
      <c r="BM147" s="1233">
        <f t="shared" si="1697"/>
        <v>91149</v>
      </c>
      <c r="BN147" s="1233">
        <f t="shared" si="1662"/>
        <v>101277</v>
      </c>
      <c r="BO147" s="1233">
        <f t="shared" si="1627"/>
        <v>101277</v>
      </c>
      <c r="BP147" s="1233">
        <f t="shared" si="1592"/>
        <v>101277</v>
      </c>
      <c r="BQ147" s="1233">
        <f t="shared" si="1557"/>
        <v>101277</v>
      </c>
      <c r="BR147" s="1233">
        <f t="shared" si="1522"/>
        <v>91149</v>
      </c>
      <c r="BS147" s="1233">
        <f t="shared" si="1487"/>
        <v>81022</v>
      </c>
      <c r="BT147" s="1233">
        <f t="shared" si="1452"/>
        <v>60766</v>
      </c>
      <c r="BU147" s="1233">
        <f t="shared" si="1417"/>
        <v>40511</v>
      </c>
      <c r="BV147" s="1276">
        <v>0</v>
      </c>
      <c r="BW147" s="1184"/>
      <c r="BX147" s="1184"/>
      <c r="BY147" s="1184"/>
      <c r="BZ147" s="208"/>
      <c r="CA147" s="208"/>
      <c r="CB147" s="208"/>
      <c r="CC147" s="208"/>
      <c r="CD147" s="211"/>
    </row>
    <row r="148" ht="18" customHeight="1">
      <c r="A148" s="207"/>
      <c r="B148" s="208"/>
      <c r="C148" s="208"/>
      <c r="D148" s="208"/>
      <c r="E148" s="208"/>
      <c r="F148" s="208"/>
      <c r="G148" s="1194"/>
      <c r="H148" s="208"/>
      <c r="I148" s="208"/>
      <c r="J148" s="208"/>
      <c r="K148" s="208"/>
      <c r="L148" s="208"/>
      <c r="M148" s="208"/>
      <c r="N148" s="208"/>
      <c r="O148" s="1221">
        <v>60</v>
      </c>
      <c r="P148" s="1233">
        <v>0</v>
      </c>
      <c r="Q148" s="1233">
        <v>0</v>
      </c>
      <c r="R148" s="1233">
        <v>0</v>
      </c>
      <c r="S148" s="1233">
        <v>0</v>
      </c>
      <c r="T148" s="1233">
        <v>0</v>
      </c>
      <c r="U148" s="1233">
        <v>0</v>
      </c>
      <c r="V148" s="1233">
        <v>0</v>
      </c>
      <c r="W148" s="1233">
        <v>0</v>
      </c>
      <c r="X148" s="1233">
        <v>0</v>
      </c>
      <c r="Y148" s="1233">
        <v>0</v>
      </c>
      <c r="Z148" s="1233">
        <v>0</v>
      </c>
      <c r="AA148" s="1233">
        <v>0</v>
      </c>
      <c r="AB148" s="1233">
        <v>0</v>
      </c>
      <c r="AC148" s="1233">
        <v>0</v>
      </c>
      <c r="AD148" s="1233">
        <v>0</v>
      </c>
      <c r="AE148" s="1233">
        <v>0</v>
      </c>
      <c r="AF148" s="1233">
        <v>0</v>
      </c>
      <c r="AG148" s="1233">
        <v>0</v>
      </c>
      <c r="AH148" s="1233">
        <v>0</v>
      </c>
      <c r="AI148" s="1233">
        <v>0</v>
      </c>
      <c r="AJ148" s="1233">
        <v>0</v>
      </c>
      <c r="AK148" s="1233">
        <f t="shared" si="1280"/>
        <v>0</v>
      </c>
      <c r="AL148" s="1233">
        <f t="shared" si="1280"/>
        <v>0</v>
      </c>
      <c r="AM148" s="1233">
        <f t="shared" si="1490"/>
        <v>0</v>
      </c>
      <c r="AN148" s="1233">
        <f t="shared" si="1455"/>
        <v>0</v>
      </c>
      <c r="AO148" s="1233">
        <f t="shared" si="1420"/>
        <v>0</v>
      </c>
      <c r="AP148" s="1233">
        <f t="shared" si="1385"/>
        <v>0</v>
      </c>
      <c r="AQ148" s="1233">
        <f t="shared" si="1350"/>
        <v>0</v>
      </c>
      <c r="AR148" s="1233">
        <f t="shared" si="1315"/>
        <v>0</v>
      </c>
      <c r="AS148" s="1233">
        <f t="shared" si="1280"/>
        <v>0</v>
      </c>
      <c r="AT148" s="1233">
        <f t="shared" si="1245"/>
        <v>0</v>
      </c>
      <c r="AU148" s="1233">
        <f t="shared" si="1210"/>
        <v>0</v>
      </c>
      <c r="AV148" s="1233">
        <f t="shared" si="1754" ref="AV148:BK163">$F$53</f>
        <v>0</v>
      </c>
      <c r="AW148" s="1233">
        <f t="shared" si="1717"/>
        <v>0</v>
      </c>
      <c r="AX148" s="1233">
        <f t="shared" si="1681"/>
        <v>0</v>
      </c>
      <c r="AY148" s="1233">
        <f t="shared" si="1646"/>
        <v>0</v>
      </c>
      <c r="AZ148" s="1233">
        <f t="shared" si="1611"/>
        <v>0</v>
      </c>
      <c r="BA148" s="1233">
        <f t="shared" si="1576"/>
        <v>0</v>
      </c>
      <c r="BB148" s="1233">
        <f t="shared" si="1541"/>
        <v>0</v>
      </c>
      <c r="BC148" s="1233">
        <f t="shared" si="1506"/>
        <v>0</v>
      </c>
      <c r="BD148" s="1233">
        <f t="shared" si="1471"/>
        <v>0</v>
      </c>
      <c r="BE148" s="1233">
        <f t="shared" si="1436"/>
        <v>0</v>
      </c>
      <c r="BF148" s="1233">
        <f t="shared" si="1401"/>
        <v>0</v>
      </c>
      <c r="BG148" s="1233">
        <f t="shared" si="1366"/>
        <v>0</v>
      </c>
      <c r="BH148" s="1233">
        <f t="shared" si="1331"/>
        <v>0</v>
      </c>
      <c r="BI148" s="1233">
        <f t="shared" si="1296"/>
        <v>0</v>
      </c>
      <c r="BJ148" s="1233">
        <f t="shared" si="1261"/>
        <v>0</v>
      </c>
      <c r="BK148" s="1233">
        <f t="shared" si="1226"/>
        <v>91149</v>
      </c>
      <c r="BL148" s="1233">
        <f t="shared" si="1770" ref="BL148:BZ162">$F$37</f>
        <v>70894</v>
      </c>
      <c r="BM148" s="1233">
        <f t="shared" si="1733"/>
        <v>81022</v>
      </c>
      <c r="BN148" s="1233">
        <f t="shared" si="1697"/>
        <v>91149</v>
      </c>
      <c r="BO148" s="1233">
        <f t="shared" si="1662"/>
        <v>101277</v>
      </c>
      <c r="BP148" s="1233">
        <f t="shared" si="1627"/>
        <v>101277</v>
      </c>
      <c r="BQ148" s="1233">
        <f t="shared" si="1592"/>
        <v>101277</v>
      </c>
      <c r="BR148" s="1233">
        <f t="shared" si="1557"/>
        <v>101277</v>
      </c>
      <c r="BS148" s="1233">
        <f t="shared" si="1522"/>
        <v>91149</v>
      </c>
      <c r="BT148" s="1233">
        <f t="shared" si="1487"/>
        <v>81022</v>
      </c>
      <c r="BU148" s="1233">
        <f t="shared" si="1452"/>
        <v>60766</v>
      </c>
      <c r="BV148" s="1233">
        <f t="shared" si="1417"/>
        <v>40511</v>
      </c>
      <c r="BW148" s="1276">
        <v>0</v>
      </c>
      <c r="BX148" s="1184"/>
      <c r="BY148" s="1184"/>
      <c r="BZ148" s="208"/>
      <c r="CA148" s="208"/>
      <c r="CB148" s="208"/>
      <c r="CC148" s="208"/>
      <c r="CD148" s="211"/>
    </row>
    <row r="149" ht="18" customHeight="1">
      <c r="A149" s="207"/>
      <c r="B149" s="208"/>
      <c r="C149" s="208"/>
      <c r="D149" s="208"/>
      <c r="E149" s="208"/>
      <c r="F149" s="208"/>
      <c r="G149" s="1194"/>
      <c r="H149" s="208"/>
      <c r="I149" s="208"/>
      <c r="J149" s="208"/>
      <c r="K149" s="208"/>
      <c r="L149" s="208"/>
      <c r="M149" s="208"/>
      <c r="N149" s="208"/>
      <c r="O149" s="1221">
        <v>61</v>
      </c>
      <c r="P149" s="1233">
        <v>0</v>
      </c>
      <c r="Q149" s="1233">
        <v>0</v>
      </c>
      <c r="R149" s="1233">
        <v>0</v>
      </c>
      <c r="S149" s="1233">
        <v>0</v>
      </c>
      <c r="T149" s="1233">
        <v>0</v>
      </c>
      <c r="U149" s="1233">
        <v>0</v>
      </c>
      <c r="V149" s="1233">
        <v>0</v>
      </c>
      <c r="W149" s="1233">
        <v>0</v>
      </c>
      <c r="X149" s="1233">
        <v>0</v>
      </c>
      <c r="Y149" s="1233">
        <v>0</v>
      </c>
      <c r="Z149" s="1233">
        <v>0</v>
      </c>
      <c r="AA149" s="1233">
        <v>0</v>
      </c>
      <c r="AB149" s="1233">
        <v>0</v>
      </c>
      <c r="AC149" s="1233">
        <v>0</v>
      </c>
      <c r="AD149" s="1233">
        <v>0</v>
      </c>
      <c r="AE149" s="1233">
        <v>0</v>
      </c>
      <c r="AF149" s="1233">
        <v>0</v>
      </c>
      <c r="AG149" s="1233">
        <v>0</v>
      </c>
      <c r="AH149" s="1233">
        <v>0</v>
      </c>
      <c r="AI149" s="1233">
        <v>0</v>
      </c>
      <c r="AJ149" s="1233">
        <v>0</v>
      </c>
      <c r="AK149" s="1233">
        <f t="shared" si="1280"/>
        <v>0</v>
      </c>
      <c r="AL149" s="1233">
        <f t="shared" si="1280"/>
        <v>0</v>
      </c>
      <c r="AM149" s="1233">
        <f t="shared" si="1280"/>
        <v>0</v>
      </c>
      <c r="AN149" s="1233">
        <f t="shared" si="1490"/>
        <v>0</v>
      </c>
      <c r="AO149" s="1233">
        <f t="shared" si="1455"/>
        <v>0</v>
      </c>
      <c r="AP149" s="1233">
        <f t="shared" si="1420"/>
        <v>0</v>
      </c>
      <c r="AQ149" s="1233">
        <f t="shared" si="1385"/>
        <v>0</v>
      </c>
      <c r="AR149" s="1233">
        <f t="shared" si="1350"/>
        <v>0</v>
      </c>
      <c r="AS149" s="1233">
        <f t="shared" si="1315"/>
        <v>0</v>
      </c>
      <c r="AT149" s="1233">
        <f t="shared" si="1280"/>
        <v>0</v>
      </c>
      <c r="AU149" s="1233">
        <f t="shared" si="1245"/>
        <v>0</v>
      </c>
      <c r="AV149" s="1233">
        <f t="shared" si="1792" ref="AV149:BK164">$F$54</f>
        <v>0</v>
      </c>
      <c r="AW149" s="1233">
        <f t="shared" si="1754"/>
        <v>0</v>
      </c>
      <c r="AX149" s="1233">
        <f t="shared" si="1717"/>
        <v>0</v>
      </c>
      <c r="AY149" s="1233">
        <f t="shared" si="1681"/>
        <v>0</v>
      </c>
      <c r="AZ149" s="1233">
        <f t="shared" si="1646"/>
        <v>0</v>
      </c>
      <c r="BA149" s="1233">
        <f t="shared" si="1611"/>
        <v>0</v>
      </c>
      <c r="BB149" s="1233">
        <f t="shared" si="1576"/>
        <v>0</v>
      </c>
      <c r="BC149" s="1233">
        <f t="shared" si="1541"/>
        <v>0</v>
      </c>
      <c r="BD149" s="1233">
        <f t="shared" si="1506"/>
        <v>0</v>
      </c>
      <c r="BE149" s="1233">
        <f t="shared" si="1471"/>
        <v>0</v>
      </c>
      <c r="BF149" s="1233">
        <f t="shared" si="1436"/>
        <v>0</v>
      </c>
      <c r="BG149" s="1233">
        <f t="shared" si="1401"/>
        <v>0</v>
      </c>
      <c r="BH149" s="1233">
        <f t="shared" si="1366"/>
        <v>0</v>
      </c>
      <c r="BI149" s="1233">
        <f t="shared" si="1331"/>
        <v>0</v>
      </c>
      <c r="BJ149" s="1233">
        <f t="shared" si="1296"/>
        <v>0</v>
      </c>
      <c r="BK149" s="1233">
        <f t="shared" si="1261"/>
        <v>0</v>
      </c>
      <c r="BL149" s="1233">
        <f t="shared" si="1808" ref="BL149:BZ163">$F$38</f>
        <v>91149</v>
      </c>
      <c r="BM149" s="1233">
        <f t="shared" si="1770"/>
        <v>70894</v>
      </c>
      <c r="BN149" s="1233">
        <f t="shared" si="1733"/>
        <v>81022</v>
      </c>
      <c r="BO149" s="1233">
        <f t="shared" si="1697"/>
        <v>91149</v>
      </c>
      <c r="BP149" s="1233">
        <f t="shared" si="1662"/>
        <v>101277</v>
      </c>
      <c r="BQ149" s="1233">
        <f t="shared" si="1627"/>
        <v>101277</v>
      </c>
      <c r="BR149" s="1233">
        <f t="shared" si="1592"/>
        <v>101277</v>
      </c>
      <c r="BS149" s="1233">
        <f t="shared" si="1557"/>
        <v>101277</v>
      </c>
      <c r="BT149" s="1233">
        <f t="shared" si="1522"/>
        <v>91149</v>
      </c>
      <c r="BU149" s="1233">
        <f t="shared" si="1487"/>
        <v>81022</v>
      </c>
      <c r="BV149" s="1233">
        <f t="shared" si="1452"/>
        <v>60766</v>
      </c>
      <c r="BW149" s="1233">
        <f t="shared" si="1417"/>
        <v>40511</v>
      </c>
      <c r="BX149" s="1276">
        <v>0</v>
      </c>
      <c r="BY149" s="1184"/>
      <c r="BZ149" s="208"/>
      <c r="CA149" s="208"/>
      <c r="CB149" s="208"/>
      <c r="CC149" s="208"/>
      <c r="CD149" s="211"/>
    </row>
    <row r="150" ht="18" customHeight="1">
      <c r="A150" s="207"/>
      <c r="B150" s="208"/>
      <c r="C150" s="208"/>
      <c r="D150" s="208"/>
      <c r="E150" s="208"/>
      <c r="F150" s="208"/>
      <c r="G150" s="1194"/>
      <c r="H150" s="208"/>
      <c r="I150" s="208"/>
      <c r="J150" s="208"/>
      <c r="K150" s="208"/>
      <c r="L150" s="208"/>
      <c r="M150" s="208"/>
      <c r="N150" s="208"/>
      <c r="O150" s="1221">
        <v>62</v>
      </c>
      <c r="P150" s="1233">
        <v>0</v>
      </c>
      <c r="Q150" s="1233">
        <v>0</v>
      </c>
      <c r="R150" s="1233">
        <v>0</v>
      </c>
      <c r="S150" s="1233">
        <v>0</v>
      </c>
      <c r="T150" s="1233">
        <v>0</v>
      </c>
      <c r="U150" s="1233">
        <v>0</v>
      </c>
      <c r="V150" s="1233">
        <v>0</v>
      </c>
      <c r="W150" s="1233">
        <v>0</v>
      </c>
      <c r="X150" s="1233">
        <v>0</v>
      </c>
      <c r="Y150" s="1233">
        <v>0</v>
      </c>
      <c r="Z150" s="1233">
        <v>0</v>
      </c>
      <c r="AA150" s="1233">
        <v>0</v>
      </c>
      <c r="AB150" s="1233">
        <v>0</v>
      </c>
      <c r="AC150" s="1233">
        <v>0</v>
      </c>
      <c r="AD150" s="1233">
        <v>0</v>
      </c>
      <c r="AE150" s="1233">
        <v>0</v>
      </c>
      <c r="AF150" s="1233">
        <v>0</v>
      </c>
      <c r="AG150" s="1233">
        <v>0</v>
      </c>
      <c r="AH150" s="1233">
        <v>0</v>
      </c>
      <c r="AI150" s="1233">
        <v>0</v>
      </c>
      <c r="AJ150" s="1233">
        <v>0</v>
      </c>
      <c r="AK150" s="1233">
        <f t="shared" si="1280"/>
        <v>0</v>
      </c>
      <c r="AL150" s="1233">
        <f t="shared" si="1280"/>
        <v>0</v>
      </c>
      <c r="AM150" s="1233">
        <f t="shared" si="1280"/>
        <v>0</v>
      </c>
      <c r="AN150" s="1233">
        <f t="shared" si="1280"/>
        <v>0</v>
      </c>
      <c r="AO150" s="1233">
        <f t="shared" si="1490"/>
        <v>0</v>
      </c>
      <c r="AP150" s="1233">
        <f t="shared" si="1455"/>
        <v>0</v>
      </c>
      <c r="AQ150" s="1233">
        <f t="shared" si="1420"/>
        <v>0</v>
      </c>
      <c r="AR150" s="1233">
        <f t="shared" si="1385"/>
        <v>0</v>
      </c>
      <c r="AS150" s="1233">
        <f t="shared" si="1350"/>
        <v>0</v>
      </c>
      <c r="AT150" s="1233">
        <f t="shared" si="1315"/>
        <v>0</v>
      </c>
      <c r="AU150" s="1233">
        <f t="shared" si="1280"/>
        <v>0</v>
      </c>
      <c r="AV150" s="1233">
        <f t="shared" si="1831" ref="AV150:BK165">$F$55</f>
        <v>0</v>
      </c>
      <c r="AW150" s="1233">
        <f t="shared" si="1792"/>
        <v>0</v>
      </c>
      <c r="AX150" s="1233">
        <f t="shared" si="1754"/>
        <v>0</v>
      </c>
      <c r="AY150" s="1233">
        <f t="shared" si="1717"/>
        <v>0</v>
      </c>
      <c r="AZ150" s="1233">
        <f t="shared" si="1681"/>
        <v>0</v>
      </c>
      <c r="BA150" s="1233">
        <f t="shared" si="1646"/>
        <v>0</v>
      </c>
      <c r="BB150" s="1233">
        <f t="shared" si="1611"/>
        <v>0</v>
      </c>
      <c r="BC150" s="1233">
        <f t="shared" si="1576"/>
        <v>0</v>
      </c>
      <c r="BD150" s="1233">
        <f t="shared" si="1541"/>
        <v>0</v>
      </c>
      <c r="BE150" s="1233">
        <f t="shared" si="1506"/>
        <v>0</v>
      </c>
      <c r="BF150" s="1233">
        <f t="shared" si="1471"/>
        <v>0</v>
      </c>
      <c r="BG150" s="1233">
        <f t="shared" si="1436"/>
        <v>0</v>
      </c>
      <c r="BH150" s="1233">
        <f t="shared" si="1401"/>
        <v>0</v>
      </c>
      <c r="BI150" s="1233">
        <f t="shared" si="1366"/>
        <v>0</v>
      </c>
      <c r="BJ150" s="1233">
        <f t="shared" si="1331"/>
        <v>0</v>
      </c>
      <c r="BK150" s="1233">
        <f t="shared" si="1296"/>
        <v>0</v>
      </c>
      <c r="BL150" s="1233">
        <f t="shared" si="1847" ref="BL150:BZ164">$F$39</f>
        <v>0</v>
      </c>
      <c r="BM150" s="1233">
        <f t="shared" si="1808"/>
        <v>91149</v>
      </c>
      <c r="BN150" s="1233">
        <f t="shared" si="1770"/>
        <v>70894</v>
      </c>
      <c r="BO150" s="1233">
        <f t="shared" si="1733"/>
        <v>81022</v>
      </c>
      <c r="BP150" s="1233">
        <f t="shared" si="1697"/>
        <v>91149</v>
      </c>
      <c r="BQ150" s="1233">
        <f t="shared" si="1662"/>
        <v>101277</v>
      </c>
      <c r="BR150" s="1233">
        <f t="shared" si="1627"/>
        <v>101277</v>
      </c>
      <c r="BS150" s="1233">
        <f t="shared" si="1592"/>
        <v>101277</v>
      </c>
      <c r="BT150" s="1233">
        <f t="shared" si="1557"/>
        <v>101277</v>
      </c>
      <c r="BU150" s="1233">
        <f t="shared" si="1522"/>
        <v>91149</v>
      </c>
      <c r="BV150" s="1233">
        <f t="shared" si="1487"/>
        <v>81022</v>
      </c>
      <c r="BW150" s="1233">
        <f t="shared" si="1452"/>
        <v>60766</v>
      </c>
      <c r="BX150" s="1233">
        <f t="shared" si="1417"/>
        <v>40511</v>
      </c>
      <c r="BY150" s="1276">
        <v>0</v>
      </c>
      <c r="BZ150" s="208"/>
      <c r="CA150" s="208"/>
      <c r="CB150" s="208"/>
      <c r="CC150" s="208"/>
      <c r="CD150" s="211"/>
    </row>
    <row r="151" ht="18" customHeight="1">
      <c r="A151" s="207"/>
      <c r="B151" s="208"/>
      <c r="C151" s="208"/>
      <c r="D151" s="208"/>
      <c r="E151" s="208"/>
      <c r="F151" s="208"/>
      <c r="G151" s="1194"/>
      <c r="H151" s="208"/>
      <c r="I151" s="208"/>
      <c r="J151" s="208"/>
      <c r="K151" s="208"/>
      <c r="L151" s="208"/>
      <c r="M151" s="208"/>
      <c r="N151" s="208"/>
      <c r="O151" s="1221">
        <v>63</v>
      </c>
      <c r="P151" s="1233">
        <v>0</v>
      </c>
      <c r="Q151" s="1233">
        <v>0</v>
      </c>
      <c r="R151" s="1233">
        <v>0</v>
      </c>
      <c r="S151" s="1233">
        <v>0</v>
      </c>
      <c r="T151" s="1233">
        <v>0</v>
      </c>
      <c r="U151" s="1233">
        <v>0</v>
      </c>
      <c r="V151" s="1233">
        <v>0</v>
      </c>
      <c r="W151" s="1233">
        <v>0</v>
      </c>
      <c r="X151" s="1233">
        <v>0</v>
      </c>
      <c r="Y151" s="1233">
        <v>0</v>
      </c>
      <c r="Z151" s="1233">
        <v>0</v>
      </c>
      <c r="AA151" s="1233">
        <v>0</v>
      </c>
      <c r="AB151" s="1233">
        <v>0</v>
      </c>
      <c r="AC151" s="1233">
        <v>0</v>
      </c>
      <c r="AD151" s="1233">
        <v>0</v>
      </c>
      <c r="AE151" s="1233">
        <v>0</v>
      </c>
      <c r="AF151" s="1233">
        <v>0</v>
      </c>
      <c r="AG151" s="1233">
        <v>0</v>
      </c>
      <c r="AH151" s="1233">
        <v>0</v>
      </c>
      <c r="AI151" s="1233">
        <v>0</v>
      </c>
      <c r="AJ151" s="1233">
        <v>0</v>
      </c>
      <c r="AK151" s="1233">
        <f t="shared" si="1860" ref="AK151:BF161">$F$56</f>
        <v>0</v>
      </c>
      <c r="AL151" s="1233">
        <f t="shared" si="1860"/>
        <v>0</v>
      </c>
      <c r="AM151" s="1233">
        <f t="shared" si="1860"/>
        <v>0</v>
      </c>
      <c r="AN151" s="1233">
        <f t="shared" si="1860"/>
        <v>0</v>
      </c>
      <c r="AO151" s="1233">
        <f t="shared" si="1860"/>
        <v>0</v>
      </c>
      <c r="AP151" s="1233">
        <f t="shared" si="1490"/>
        <v>0</v>
      </c>
      <c r="AQ151" s="1233">
        <f t="shared" si="1455"/>
        <v>0</v>
      </c>
      <c r="AR151" s="1233">
        <f t="shared" si="1420"/>
        <v>0</v>
      </c>
      <c r="AS151" s="1233">
        <f t="shared" si="1385"/>
        <v>0</v>
      </c>
      <c r="AT151" s="1233">
        <f t="shared" si="1350"/>
        <v>0</v>
      </c>
      <c r="AU151" s="1233">
        <f t="shared" si="1315"/>
        <v>0</v>
      </c>
      <c r="AV151" s="1233">
        <f t="shared" si="1860"/>
        <v>0</v>
      </c>
      <c r="AW151" s="1233">
        <f t="shared" si="1831"/>
        <v>0</v>
      </c>
      <c r="AX151" s="1233">
        <f t="shared" si="1792"/>
        <v>0</v>
      </c>
      <c r="AY151" s="1233">
        <f t="shared" si="1754"/>
        <v>0</v>
      </c>
      <c r="AZ151" s="1233">
        <f t="shared" si="1717"/>
        <v>0</v>
      </c>
      <c r="BA151" s="1233">
        <f t="shared" si="1681"/>
        <v>0</v>
      </c>
      <c r="BB151" s="1233">
        <f t="shared" si="1646"/>
        <v>0</v>
      </c>
      <c r="BC151" s="1233">
        <f t="shared" si="1611"/>
        <v>0</v>
      </c>
      <c r="BD151" s="1233">
        <f t="shared" si="1576"/>
        <v>0</v>
      </c>
      <c r="BE151" s="1233">
        <f t="shared" si="1541"/>
        <v>0</v>
      </c>
      <c r="BF151" s="1233">
        <f t="shared" si="1506"/>
        <v>0</v>
      </c>
      <c r="BG151" s="1233">
        <f t="shared" si="1471"/>
        <v>0</v>
      </c>
      <c r="BH151" s="1233">
        <f t="shared" si="1436"/>
        <v>0</v>
      </c>
      <c r="BI151" s="1233">
        <f t="shared" si="1401"/>
        <v>0</v>
      </c>
      <c r="BJ151" s="1233">
        <f t="shared" si="1366"/>
        <v>0</v>
      </c>
      <c r="BK151" s="1233">
        <f t="shared" si="1331"/>
        <v>0</v>
      </c>
      <c r="BL151" s="1233">
        <f t="shared" si="1887" ref="BL151:BZ165">$F$40</f>
        <v>0</v>
      </c>
      <c r="BM151" s="1233">
        <f t="shared" si="1847"/>
        <v>0</v>
      </c>
      <c r="BN151" s="1233">
        <f t="shared" si="1808"/>
        <v>91149</v>
      </c>
      <c r="BO151" s="1233">
        <f t="shared" si="1770"/>
        <v>70894</v>
      </c>
      <c r="BP151" s="1233">
        <f t="shared" si="1733"/>
        <v>81022</v>
      </c>
      <c r="BQ151" s="1233">
        <f t="shared" si="1697"/>
        <v>91149</v>
      </c>
      <c r="BR151" s="1233">
        <f t="shared" si="1662"/>
        <v>101277</v>
      </c>
      <c r="BS151" s="1233">
        <f t="shared" si="1627"/>
        <v>101277</v>
      </c>
      <c r="BT151" s="1233">
        <f t="shared" si="1592"/>
        <v>101277</v>
      </c>
      <c r="BU151" s="1233">
        <f t="shared" si="1557"/>
        <v>101277</v>
      </c>
      <c r="BV151" s="1233">
        <f t="shared" si="1522"/>
        <v>91149</v>
      </c>
      <c r="BW151" s="1233">
        <f t="shared" si="1487"/>
        <v>81022</v>
      </c>
      <c r="BX151" s="1233">
        <f t="shared" si="1452"/>
        <v>60766</v>
      </c>
      <c r="BY151" s="1233">
        <f t="shared" si="1417"/>
        <v>40511</v>
      </c>
      <c r="BZ151" s="1275">
        <v>0</v>
      </c>
      <c r="CA151" s="208"/>
      <c r="CB151" s="208"/>
      <c r="CC151" s="208"/>
      <c r="CD151" s="211"/>
    </row>
    <row r="152" ht="18" customHeight="1">
      <c r="A152" s="207"/>
      <c r="B152" s="208"/>
      <c r="C152" s="208"/>
      <c r="D152" s="208"/>
      <c r="E152" s="208"/>
      <c r="F152" s="208"/>
      <c r="G152" s="1194"/>
      <c r="H152" s="208"/>
      <c r="I152" s="208"/>
      <c r="J152" s="208"/>
      <c r="K152" s="208"/>
      <c r="L152" s="208"/>
      <c r="M152" s="208"/>
      <c r="N152" s="208"/>
      <c r="O152" s="208"/>
      <c r="P152" s="208"/>
      <c r="Q152" s="208"/>
      <c r="R152" s="208"/>
      <c r="S152" s="208"/>
      <c r="T152" s="208"/>
      <c r="U152" s="208"/>
      <c r="V152" s="208"/>
      <c r="W152" s="208"/>
      <c r="X152" s="208"/>
      <c r="Y152" s="208"/>
      <c r="Z152" s="208"/>
      <c r="AA152" s="208"/>
      <c r="AB152" s="1233"/>
      <c r="AC152" s="1233"/>
      <c r="AD152" s="1233"/>
      <c r="AE152" s="1233"/>
      <c r="AF152" s="1233"/>
      <c r="AG152" s="1233"/>
      <c r="AH152" s="1233"/>
      <c r="AI152" s="1233"/>
      <c r="AJ152" s="1233"/>
      <c r="AK152" s="1233"/>
      <c r="AL152" s="1233">
        <f t="shared" si="1860"/>
        <v>0</v>
      </c>
      <c r="AM152" s="1233">
        <f t="shared" si="1860"/>
        <v>0</v>
      </c>
      <c r="AN152" s="1233">
        <f t="shared" si="1860"/>
        <v>0</v>
      </c>
      <c r="AO152" s="1233">
        <f t="shared" si="1860"/>
        <v>0</v>
      </c>
      <c r="AP152" s="1233">
        <f t="shared" si="1860"/>
        <v>0</v>
      </c>
      <c r="AQ152" s="1233">
        <f t="shared" si="1490"/>
        <v>0</v>
      </c>
      <c r="AR152" s="1233">
        <f t="shared" si="1455"/>
        <v>0</v>
      </c>
      <c r="AS152" s="1233">
        <f t="shared" si="1420"/>
        <v>0</v>
      </c>
      <c r="AT152" s="1233">
        <f t="shared" si="1385"/>
        <v>0</v>
      </c>
      <c r="AU152" s="1233">
        <f t="shared" si="1350"/>
        <v>0</v>
      </c>
      <c r="AV152" s="1233">
        <f t="shared" si="1911" ref="AV152:BK167">$F$57</f>
        <v>0</v>
      </c>
      <c r="AW152" s="1233">
        <f t="shared" si="1860"/>
        <v>0</v>
      </c>
      <c r="AX152" s="1233">
        <f t="shared" si="1831"/>
        <v>0</v>
      </c>
      <c r="AY152" s="1233">
        <f t="shared" si="1792"/>
        <v>0</v>
      </c>
      <c r="AZ152" s="1233">
        <f t="shared" si="1754"/>
        <v>0</v>
      </c>
      <c r="BA152" s="1233">
        <f t="shared" si="1717"/>
        <v>0</v>
      </c>
      <c r="BB152" s="1233">
        <f t="shared" si="1681"/>
        <v>0</v>
      </c>
      <c r="BC152" s="1233">
        <f t="shared" si="1646"/>
        <v>0</v>
      </c>
      <c r="BD152" s="1233">
        <f t="shared" si="1611"/>
        <v>0</v>
      </c>
      <c r="BE152" s="1233">
        <f t="shared" si="1576"/>
        <v>0</v>
      </c>
      <c r="BF152" s="1233">
        <f t="shared" si="1541"/>
        <v>0</v>
      </c>
      <c r="BG152" s="1233">
        <f t="shared" si="1506"/>
        <v>0</v>
      </c>
      <c r="BH152" s="1233">
        <f t="shared" si="1471"/>
        <v>0</v>
      </c>
      <c r="BI152" s="1233">
        <f t="shared" si="1436"/>
        <v>0</v>
      </c>
      <c r="BJ152" s="1233">
        <f t="shared" si="1401"/>
        <v>0</v>
      </c>
      <c r="BK152" s="1233">
        <f t="shared" si="1366"/>
        <v>0</v>
      </c>
      <c r="BL152" s="1233">
        <f t="shared" si="1927" ref="BL152:BZ166">$F$41</f>
        <v>0</v>
      </c>
      <c r="BM152" s="1233">
        <f t="shared" si="1887"/>
        <v>0</v>
      </c>
      <c r="BN152" s="1233">
        <f t="shared" si="1847"/>
        <v>0</v>
      </c>
      <c r="BO152" s="1233">
        <f t="shared" si="1808"/>
        <v>91149</v>
      </c>
      <c r="BP152" s="1233">
        <f t="shared" si="1770"/>
        <v>70894</v>
      </c>
      <c r="BQ152" s="1233">
        <f t="shared" si="1733"/>
        <v>81022</v>
      </c>
      <c r="BR152" s="1233">
        <f t="shared" si="1697"/>
        <v>91149</v>
      </c>
      <c r="BS152" s="1233">
        <f t="shared" si="1662"/>
        <v>101277</v>
      </c>
      <c r="BT152" s="1233">
        <f t="shared" si="1627"/>
        <v>101277</v>
      </c>
      <c r="BU152" s="1233">
        <f t="shared" si="1592"/>
        <v>101277</v>
      </c>
      <c r="BV152" s="1233">
        <f t="shared" si="1557"/>
        <v>101277</v>
      </c>
      <c r="BW152" s="1233">
        <f t="shared" si="1522"/>
        <v>91149</v>
      </c>
      <c r="BX152" s="1233">
        <f t="shared" si="1487"/>
        <v>81022</v>
      </c>
      <c r="BY152" s="1233">
        <f t="shared" si="1452"/>
        <v>60766</v>
      </c>
      <c r="BZ152" s="1233">
        <f t="shared" si="1417"/>
        <v>40511</v>
      </c>
      <c r="CA152" s="208"/>
      <c r="CB152" s="208"/>
      <c r="CC152" s="208"/>
      <c r="CD152" s="211"/>
    </row>
    <row r="153" ht="18" customHeight="1">
      <c r="A153" s="207"/>
      <c r="B153" s="208"/>
      <c r="C153" s="208"/>
      <c r="D153" s="208"/>
      <c r="E153" s="208"/>
      <c r="F153" s="208"/>
      <c r="G153" s="1194"/>
      <c r="H153" s="208"/>
      <c r="I153" s="208"/>
      <c r="J153" s="208"/>
      <c r="K153" s="208"/>
      <c r="L153" s="208"/>
      <c r="M153" s="208"/>
      <c r="N153" s="208"/>
      <c r="O153" s="208"/>
      <c r="P153" s="208"/>
      <c r="Q153" s="208"/>
      <c r="R153" s="208"/>
      <c r="S153" s="208"/>
      <c r="T153" s="208"/>
      <c r="U153" s="208"/>
      <c r="V153" s="208"/>
      <c r="W153" s="208"/>
      <c r="X153" s="208"/>
      <c r="Y153" s="208"/>
      <c r="Z153" s="208"/>
      <c r="AA153" s="208"/>
      <c r="AB153" s="208"/>
      <c r="AC153" s="1233"/>
      <c r="AD153" s="1233"/>
      <c r="AE153" s="1233"/>
      <c r="AF153" s="1233"/>
      <c r="AG153" s="1233"/>
      <c r="AH153" s="1233"/>
      <c r="AI153" s="1233"/>
      <c r="AJ153" s="1233"/>
      <c r="AK153" s="1233"/>
      <c r="AL153" s="1233"/>
      <c r="AM153" s="1233">
        <f t="shared" si="1860"/>
        <v>0</v>
      </c>
      <c r="AN153" s="1233">
        <f t="shared" si="1860"/>
        <v>0</v>
      </c>
      <c r="AO153" s="1233">
        <f t="shared" si="1860"/>
        <v>0</v>
      </c>
      <c r="AP153" s="1233">
        <f t="shared" si="1860"/>
        <v>0</v>
      </c>
      <c r="AQ153" s="1233">
        <f t="shared" si="1860"/>
        <v>0</v>
      </c>
      <c r="AR153" s="1233">
        <f t="shared" si="1490"/>
        <v>0</v>
      </c>
      <c r="AS153" s="1233">
        <f t="shared" si="1455"/>
        <v>0</v>
      </c>
      <c r="AT153" s="1233">
        <f t="shared" si="1420"/>
        <v>0</v>
      </c>
      <c r="AU153" s="1233">
        <f t="shared" si="1385"/>
        <v>0</v>
      </c>
      <c r="AV153" s="1233">
        <f t="shared" si="1951" ref="AV153:BK168">$F$58</f>
        <v>0</v>
      </c>
      <c r="AW153" s="1233">
        <f t="shared" si="1911"/>
        <v>0</v>
      </c>
      <c r="AX153" s="1233">
        <f t="shared" si="1860"/>
        <v>0</v>
      </c>
      <c r="AY153" s="1233">
        <f t="shared" si="1831"/>
        <v>0</v>
      </c>
      <c r="AZ153" s="1233">
        <f t="shared" si="1792"/>
        <v>0</v>
      </c>
      <c r="BA153" s="1233">
        <f t="shared" si="1754"/>
        <v>0</v>
      </c>
      <c r="BB153" s="1233">
        <f t="shared" si="1717"/>
        <v>0</v>
      </c>
      <c r="BC153" s="1233">
        <f t="shared" si="1681"/>
        <v>0</v>
      </c>
      <c r="BD153" s="1233">
        <f t="shared" si="1646"/>
        <v>0</v>
      </c>
      <c r="BE153" s="1233">
        <f t="shared" si="1611"/>
        <v>0</v>
      </c>
      <c r="BF153" s="1233">
        <f t="shared" si="1576"/>
        <v>0</v>
      </c>
      <c r="BG153" s="1233">
        <f t="shared" si="1541"/>
        <v>0</v>
      </c>
      <c r="BH153" s="1233">
        <f t="shared" si="1506"/>
        <v>0</v>
      </c>
      <c r="BI153" s="1233">
        <f t="shared" si="1471"/>
        <v>0</v>
      </c>
      <c r="BJ153" s="1233">
        <f t="shared" si="1436"/>
        <v>0</v>
      </c>
      <c r="BK153" s="1233">
        <f t="shared" si="1401"/>
        <v>0</v>
      </c>
      <c r="BL153" s="1233">
        <f t="shared" si="1967" ref="BL153:BZ167">$F$42</f>
        <v>0</v>
      </c>
      <c r="BM153" s="1233">
        <f t="shared" si="1927"/>
        <v>0</v>
      </c>
      <c r="BN153" s="1233">
        <f t="shared" si="1887"/>
        <v>0</v>
      </c>
      <c r="BO153" s="1233">
        <f t="shared" si="1847"/>
        <v>0</v>
      </c>
      <c r="BP153" s="1233">
        <f t="shared" si="1808"/>
        <v>91149</v>
      </c>
      <c r="BQ153" s="1233">
        <f t="shared" si="1770"/>
        <v>70894</v>
      </c>
      <c r="BR153" s="1233">
        <f t="shared" si="1733"/>
        <v>81022</v>
      </c>
      <c r="BS153" s="1233">
        <f t="shared" si="1697"/>
        <v>91149</v>
      </c>
      <c r="BT153" s="1233">
        <f t="shared" si="1662"/>
        <v>101277</v>
      </c>
      <c r="BU153" s="1233">
        <f t="shared" si="1627"/>
        <v>101277</v>
      </c>
      <c r="BV153" s="1233">
        <f t="shared" si="1592"/>
        <v>101277</v>
      </c>
      <c r="BW153" s="1233">
        <f t="shared" si="1557"/>
        <v>101277</v>
      </c>
      <c r="BX153" s="1233">
        <f t="shared" si="1522"/>
        <v>91149</v>
      </c>
      <c r="BY153" s="1233">
        <f t="shared" si="1487"/>
        <v>81022</v>
      </c>
      <c r="BZ153" s="1233">
        <f t="shared" si="1452"/>
        <v>60766</v>
      </c>
      <c r="CA153" s="208"/>
      <c r="CB153" s="208"/>
      <c r="CC153" s="208"/>
      <c r="CD153" s="211"/>
    </row>
    <row r="154" ht="18" customHeight="1">
      <c r="A154" s="207"/>
      <c r="B154" s="208"/>
      <c r="C154" s="208"/>
      <c r="D154" s="208"/>
      <c r="E154" s="208"/>
      <c r="F154" s="208"/>
      <c r="G154" s="1194"/>
      <c r="H154" s="208"/>
      <c r="I154" s="208"/>
      <c r="J154" s="208"/>
      <c r="K154" s="208"/>
      <c r="L154" s="208"/>
      <c r="M154" s="208"/>
      <c r="N154" s="208"/>
      <c r="O154" s="208"/>
      <c r="P154" s="208"/>
      <c r="Q154" s="208"/>
      <c r="R154" s="208"/>
      <c r="S154" s="208"/>
      <c r="T154" s="208"/>
      <c r="U154" s="208"/>
      <c r="V154" s="208"/>
      <c r="W154" s="208"/>
      <c r="X154" s="208"/>
      <c r="Y154" s="208"/>
      <c r="Z154" s="208"/>
      <c r="AA154" s="208"/>
      <c r="AB154" s="208"/>
      <c r="AC154" s="208"/>
      <c r="AD154" s="1233"/>
      <c r="AE154" s="1233"/>
      <c r="AF154" s="1233"/>
      <c r="AG154" s="1233"/>
      <c r="AH154" s="1233"/>
      <c r="AI154" s="1233"/>
      <c r="AJ154" s="1233"/>
      <c r="AK154" s="1233"/>
      <c r="AL154" s="1233"/>
      <c r="AM154" s="1233"/>
      <c r="AN154" s="1233">
        <f t="shared" si="1860"/>
        <v>0</v>
      </c>
      <c r="AO154" s="1233">
        <f t="shared" si="1860"/>
        <v>0</v>
      </c>
      <c r="AP154" s="1233">
        <f t="shared" si="1860"/>
        <v>0</v>
      </c>
      <c r="AQ154" s="1233">
        <f t="shared" si="1860"/>
        <v>0</v>
      </c>
      <c r="AR154" s="1233">
        <f t="shared" si="1860"/>
        <v>0</v>
      </c>
      <c r="AS154" s="1233">
        <f t="shared" si="1490"/>
        <v>0</v>
      </c>
      <c r="AT154" s="1233">
        <f t="shared" si="1455"/>
        <v>0</v>
      </c>
      <c r="AU154" s="1233">
        <f t="shared" si="1420"/>
        <v>0</v>
      </c>
      <c r="AV154" s="1233">
        <f t="shared" si="1990" ref="AV154:BK169">$F$59</f>
        <v>0</v>
      </c>
      <c r="AW154" s="1233">
        <f t="shared" si="1951"/>
        <v>0</v>
      </c>
      <c r="AX154" s="1233">
        <f t="shared" si="1911"/>
        <v>0</v>
      </c>
      <c r="AY154" s="1233">
        <f t="shared" si="1860"/>
        <v>0</v>
      </c>
      <c r="AZ154" s="1233">
        <f t="shared" si="1831"/>
        <v>0</v>
      </c>
      <c r="BA154" s="1233">
        <f t="shared" si="1792"/>
        <v>0</v>
      </c>
      <c r="BB154" s="1233">
        <f t="shared" si="1754"/>
        <v>0</v>
      </c>
      <c r="BC154" s="1233">
        <f t="shared" si="1717"/>
        <v>0</v>
      </c>
      <c r="BD154" s="1233">
        <f t="shared" si="1681"/>
        <v>0</v>
      </c>
      <c r="BE154" s="1233">
        <f t="shared" si="1646"/>
        <v>0</v>
      </c>
      <c r="BF154" s="1233">
        <f t="shared" si="1611"/>
        <v>0</v>
      </c>
      <c r="BG154" s="1233">
        <f t="shared" si="1576"/>
        <v>0</v>
      </c>
      <c r="BH154" s="1233">
        <f t="shared" si="1541"/>
        <v>0</v>
      </c>
      <c r="BI154" s="1233">
        <f t="shared" si="1506"/>
        <v>0</v>
      </c>
      <c r="BJ154" s="1233">
        <f t="shared" si="1471"/>
        <v>0</v>
      </c>
      <c r="BK154" s="1233">
        <f t="shared" si="1436"/>
        <v>0</v>
      </c>
      <c r="BL154" s="1233">
        <f t="shared" si="2006" ref="BL154:BZ168">$F$43</f>
        <v>0</v>
      </c>
      <c r="BM154" s="1233">
        <f t="shared" si="1967"/>
        <v>0</v>
      </c>
      <c r="BN154" s="1233">
        <f t="shared" si="1927"/>
        <v>0</v>
      </c>
      <c r="BO154" s="1233">
        <f t="shared" si="1887"/>
        <v>0</v>
      </c>
      <c r="BP154" s="1233">
        <f t="shared" si="1847"/>
        <v>0</v>
      </c>
      <c r="BQ154" s="1233">
        <f t="shared" si="1808"/>
        <v>91149</v>
      </c>
      <c r="BR154" s="1233">
        <f t="shared" si="1770"/>
        <v>70894</v>
      </c>
      <c r="BS154" s="1233">
        <f t="shared" si="1733"/>
        <v>81022</v>
      </c>
      <c r="BT154" s="1233">
        <f t="shared" si="1697"/>
        <v>91149</v>
      </c>
      <c r="BU154" s="1233">
        <f t="shared" si="1662"/>
        <v>101277</v>
      </c>
      <c r="BV154" s="1233">
        <f t="shared" si="1627"/>
        <v>101277</v>
      </c>
      <c r="BW154" s="1233">
        <f t="shared" si="1592"/>
        <v>101277</v>
      </c>
      <c r="BX154" s="1233">
        <f t="shared" si="1557"/>
        <v>101277</v>
      </c>
      <c r="BY154" s="1233">
        <f t="shared" si="1522"/>
        <v>91149</v>
      </c>
      <c r="BZ154" s="1233">
        <f t="shared" si="1487"/>
        <v>81022</v>
      </c>
      <c r="CA154" s="208"/>
      <c r="CB154" s="208"/>
      <c r="CC154" s="208"/>
      <c r="CD154" s="211"/>
    </row>
    <row r="155" ht="18" customHeight="1">
      <c r="A155" s="207"/>
      <c r="B155" s="208"/>
      <c r="C155" s="208"/>
      <c r="D155" s="208"/>
      <c r="E155" s="208"/>
      <c r="F155" s="208"/>
      <c r="G155" s="1194"/>
      <c r="H155" s="208"/>
      <c r="I155" s="208"/>
      <c r="J155" s="208"/>
      <c r="K155" s="208"/>
      <c r="L155" s="208"/>
      <c r="M155" s="208"/>
      <c r="N155" s="208"/>
      <c r="O155" s="208"/>
      <c r="P155" s="208"/>
      <c r="Q155" s="208"/>
      <c r="R155" s="208"/>
      <c r="S155" s="208"/>
      <c r="T155" s="208"/>
      <c r="U155" s="208"/>
      <c r="V155" s="208"/>
      <c r="W155" s="208"/>
      <c r="X155" s="208"/>
      <c r="Y155" s="208"/>
      <c r="Z155" s="208"/>
      <c r="AA155" s="208"/>
      <c r="AB155" s="208"/>
      <c r="AC155" s="208"/>
      <c r="AD155" s="208"/>
      <c r="AE155" s="1233"/>
      <c r="AF155" s="1233"/>
      <c r="AG155" s="1233"/>
      <c r="AH155" s="1233"/>
      <c r="AI155" s="1233"/>
      <c r="AJ155" s="1233"/>
      <c r="AK155" s="1233"/>
      <c r="AL155" s="1233"/>
      <c r="AM155" s="1233"/>
      <c r="AN155" s="1233"/>
      <c r="AO155" s="1233">
        <f t="shared" si="1860"/>
        <v>0</v>
      </c>
      <c r="AP155" s="1233">
        <f t="shared" si="1860"/>
        <v>0</v>
      </c>
      <c r="AQ155" s="1233">
        <f t="shared" si="1860"/>
        <v>0</v>
      </c>
      <c r="AR155" s="1233">
        <f t="shared" si="1860"/>
        <v>0</v>
      </c>
      <c r="AS155" s="1233">
        <f t="shared" si="1860"/>
        <v>0</v>
      </c>
      <c r="AT155" s="1233">
        <f t="shared" si="1490"/>
        <v>0</v>
      </c>
      <c r="AU155" s="1233">
        <f t="shared" si="1455"/>
        <v>0</v>
      </c>
      <c r="AV155" s="1233">
        <f t="shared" si="2028" ref="AV155:BK170">$F$60</f>
        <v>0</v>
      </c>
      <c r="AW155" s="1233">
        <f t="shared" si="1990"/>
        <v>0</v>
      </c>
      <c r="AX155" s="1233">
        <f t="shared" si="1951"/>
        <v>0</v>
      </c>
      <c r="AY155" s="1233">
        <f t="shared" si="1911"/>
        <v>0</v>
      </c>
      <c r="AZ155" s="1233">
        <f t="shared" si="1860"/>
        <v>0</v>
      </c>
      <c r="BA155" s="1233">
        <f t="shared" si="1831"/>
        <v>0</v>
      </c>
      <c r="BB155" s="1233">
        <f t="shared" si="1792"/>
        <v>0</v>
      </c>
      <c r="BC155" s="1233">
        <f t="shared" si="1754"/>
        <v>0</v>
      </c>
      <c r="BD155" s="1233">
        <f t="shared" si="1717"/>
        <v>0</v>
      </c>
      <c r="BE155" s="1233">
        <f t="shared" si="1681"/>
        <v>0</v>
      </c>
      <c r="BF155" s="1233">
        <f t="shared" si="1646"/>
        <v>0</v>
      </c>
      <c r="BG155" s="1233">
        <f t="shared" si="1611"/>
        <v>0</v>
      </c>
      <c r="BH155" s="1233">
        <f t="shared" si="1576"/>
        <v>0</v>
      </c>
      <c r="BI155" s="1233">
        <f t="shared" si="1541"/>
        <v>0</v>
      </c>
      <c r="BJ155" s="1233">
        <f t="shared" si="1506"/>
        <v>0</v>
      </c>
      <c r="BK155" s="1233">
        <f t="shared" si="1471"/>
        <v>0</v>
      </c>
      <c r="BL155" s="1233">
        <f t="shared" si="2044" ref="BL155:BZ169">$F$44</f>
        <v>0</v>
      </c>
      <c r="BM155" s="1233">
        <f t="shared" si="2006"/>
        <v>0</v>
      </c>
      <c r="BN155" s="1233">
        <f t="shared" si="1967"/>
        <v>0</v>
      </c>
      <c r="BO155" s="1233">
        <f t="shared" si="1927"/>
        <v>0</v>
      </c>
      <c r="BP155" s="1233">
        <f t="shared" si="1887"/>
        <v>0</v>
      </c>
      <c r="BQ155" s="1233">
        <f t="shared" si="1847"/>
        <v>0</v>
      </c>
      <c r="BR155" s="1233">
        <f t="shared" si="1808"/>
        <v>91149</v>
      </c>
      <c r="BS155" s="1233">
        <f t="shared" si="1770"/>
        <v>70894</v>
      </c>
      <c r="BT155" s="1233">
        <f t="shared" si="1733"/>
        <v>81022</v>
      </c>
      <c r="BU155" s="1233">
        <f t="shared" si="1697"/>
        <v>91149</v>
      </c>
      <c r="BV155" s="1233">
        <f t="shared" si="1662"/>
        <v>101277</v>
      </c>
      <c r="BW155" s="1233">
        <f t="shared" si="1627"/>
        <v>101277</v>
      </c>
      <c r="BX155" s="1233">
        <f t="shared" si="1592"/>
        <v>101277</v>
      </c>
      <c r="BY155" s="1233">
        <f t="shared" si="1557"/>
        <v>101277</v>
      </c>
      <c r="BZ155" s="1233">
        <f t="shared" si="1522"/>
        <v>91149</v>
      </c>
      <c r="CA155" s="208"/>
      <c r="CB155" s="208"/>
      <c r="CC155" s="208"/>
      <c r="CD155" s="211"/>
    </row>
    <row r="156" ht="18" customHeight="1">
      <c r="A156" s="207"/>
      <c r="B156" s="208"/>
      <c r="C156" s="208"/>
      <c r="D156" s="208"/>
      <c r="E156" s="208"/>
      <c r="F156" s="208"/>
      <c r="G156" s="1194"/>
      <c r="H156" s="208"/>
      <c r="I156" s="208"/>
      <c r="J156" s="208"/>
      <c r="K156" s="208"/>
      <c r="L156" s="208"/>
      <c r="M156" s="208"/>
      <c r="N156" s="208"/>
      <c r="O156" s="208"/>
      <c r="P156" s="208"/>
      <c r="Q156" s="208"/>
      <c r="R156" s="208"/>
      <c r="S156" s="208"/>
      <c r="T156" s="208"/>
      <c r="U156" s="208"/>
      <c r="V156" s="208"/>
      <c r="W156" s="208"/>
      <c r="X156" s="208"/>
      <c r="Y156" s="208"/>
      <c r="Z156" s="208"/>
      <c r="AA156" s="208"/>
      <c r="AB156" s="208"/>
      <c r="AC156" s="208"/>
      <c r="AD156" s="208"/>
      <c r="AE156" s="208"/>
      <c r="AF156" s="1233"/>
      <c r="AG156" s="1233"/>
      <c r="AH156" s="1233"/>
      <c r="AI156" s="1233"/>
      <c r="AJ156" s="1233"/>
      <c r="AK156" s="1233"/>
      <c r="AL156" s="1233"/>
      <c r="AM156" s="1233"/>
      <c r="AN156" s="1233"/>
      <c r="AO156" s="1233"/>
      <c r="AP156" s="1233">
        <f t="shared" si="1860"/>
        <v>0</v>
      </c>
      <c r="AQ156" s="1233">
        <f t="shared" si="1860"/>
        <v>0</v>
      </c>
      <c r="AR156" s="1233">
        <f t="shared" si="1860"/>
        <v>0</v>
      </c>
      <c r="AS156" s="1233">
        <f t="shared" si="1860"/>
        <v>0</v>
      </c>
      <c r="AT156" s="1233">
        <f t="shared" si="1860"/>
        <v>0</v>
      </c>
      <c r="AU156" s="1233">
        <f t="shared" si="1490"/>
        <v>0</v>
      </c>
      <c r="AV156" s="1233">
        <f t="shared" si="2065" ref="AV156:BK171">$F$61</f>
        <v>0</v>
      </c>
      <c r="AW156" s="1233">
        <f t="shared" si="2028"/>
        <v>0</v>
      </c>
      <c r="AX156" s="1233">
        <f t="shared" si="1990"/>
        <v>0</v>
      </c>
      <c r="AY156" s="1233">
        <f t="shared" si="1951"/>
        <v>0</v>
      </c>
      <c r="AZ156" s="1233">
        <f t="shared" si="1911"/>
        <v>0</v>
      </c>
      <c r="BA156" s="1233">
        <f t="shared" si="1860"/>
        <v>0</v>
      </c>
      <c r="BB156" s="1233">
        <f t="shared" si="1831"/>
        <v>0</v>
      </c>
      <c r="BC156" s="1233">
        <f t="shared" si="1792"/>
        <v>0</v>
      </c>
      <c r="BD156" s="1233">
        <f t="shared" si="1754"/>
        <v>0</v>
      </c>
      <c r="BE156" s="1233">
        <f t="shared" si="1717"/>
        <v>0</v>
      </c>
      <c r="BF156" s="1233">
        <f t="shared" si="1681"/>
        <v>0</v>
      </c>
      <c r="BG156" s="1233">
        <f t="shared" si="1646"/>
        <v>0</v>
      </c>
      <c r="BH156" s="1233">
        <f t="shared" si="1611"/>
        <v>0</v>
      </c>
      <c r="BI156" s="1233">
        <f t="shared" si="1576"/>
        <v>0</v>
      </c>
      <c r="BJ156" s="1233">
        <f t="shared" si="1541"/>
        <v>0</v>
      </c>
      <c r="BK156" s="1233">
        <f t="shared" si="1506"/>
        <v>0</v>
      </c>
      <c r="BL156" s="1233">
        <f t="shared" si="2081" ref="BL156:BZ170">$F$45</f>
        <v>0</v>
      </c>
      <c r="BM156" s="1233">
        <f t="shared" si="2044"/>
        <v>0</v>
      </c>
      <c r="BN156" s="1233">
        <f t="shared" si="2006"/>
        <v>0</v>
      </c>
      <c r="BO156" s="1233">
        <f t="shared" si="1967"/>
        <v>0</v>
      </c>
      <c r="BP156" s="1233">
        <f t="shared" si="1927"/>
        <v>0</v>
      </c>
      <c r="BQ156" s="1233">
        <f t="shared" si="1887"/>
        <v>0</v>
      </c>
      <c r="BR156" s="1233">
        <f t="shared" si="1847"/>
        <v>0</v>
      </c>
      <c r="BS156" s="1233">
        <f t="shared" si="1808"/>
        <v>91149</v>
      </c>
      <c r="BT156" s="1233">
        <f t="shared" si="1770"/>
        <v>70894</v>
      </c>
      <c r="BU156" s="1233">
        <f t="shared" si="1733"/>
        <v>81022</v>
      </c>
      <c r="BV156" s="1233">
        <f t="shared" si="1697"/>
        <v>91149</v>
      </c>
      <c r="BW156" s="1233">
        <f t="shared" si="1662"/>
        <v>101277</v>
      </c>
      <c r="BX156" s="1233">
        <f t="shared" si="1627"/>
        <v>101277</v>
      </c>
      <c r="BY156" s="1233">
        <f t="shared" si="1592"/>
        <v>101277</v>
      </c>
      <c r="BZ156" s="1233">
        <f t="shared" si="1557"/>
        <v>101277</v>
      </c>
      <c r="CA156" s="208"/>
      <c r="CB156" s="208"/>
      <c r="CC156" s="208"/>
      <c r="CD156" s="211"/>
    </row>
    <row r="157" ht="18" customHeight="1">
      <c r="A157" s="207"/>
      <c r="B157" s="208"/>
      <c r="C157" s="208"/>
      <c r="D157" s="208"/>
      <c r="E157" s="208"/>
      <c r="F157" s="208"/>
      <c r="G157" s="1194"/>
      <c r="H157" s="208"/>
      <c r="I157" s="208"/>
      <c r="J157" s="208"/>
      <c r="K157" s="208"/>
      <c r="L157" s="208"/>
      <c r="M157" s="208"/>
      <c r="N157" s="208"/>
      <c r="O157" s="208"/>
      <c r="P157" s="208"/>
      <c r="Q157" s="208"/>
      <c r="R157" s="208"/>
      <c r="S157" s="208"/>
      <c r="T157" s="208"/>
      <c r="U157" s="208"/>
      <c r="V157" s="208"/>
      <c r="W157" s="208"/>
      <c r="X157" s="208"/>
      <c r="Y157" s="208"/>
      <c r="Z157" s="208"/>
      <c r="AA157" s="208"/>
      <c r="AB157" s="208"/>
      <c r="AC157" s="208"/>
      <c r="AD157" s="208"/>
      <c r="AE157" s="208"/>
      <c r="AF157" s="208"/>
      <c r="AG157" s="1233"/>
      <c r="AH157" s="1233"/>
      <c r="AI157" s="1233"/>
      <c r="AJ157" s="1233"/>
      <c r="AK157" s="1233"/>
      <c r="AL157" s="1233"/>
      <c r="AM157" s="1233"/>
      <c r="AN157" s="1233"/>
      <c r="AO157" s="1233"/>
      <c r="AP157" s="1233"/>
      <c r="AQ157" s="1233">
        <f t="shared" si="1860"/>
        <v>0</v>
      </c>
      <c r="AR157" s="1233">
        <f t="shared" si="1860"/>
        <v>0</v>
      </c>
      <c r="AS157" s="1233">
        <f t="shared" si="1860"/>
        <v>0</v>
      </c>
      <c r="AT157" s="1233">
        <f t="shared" si="1860"/>
        <v>0</v>
      </c>
      <c r="AU157" s="1233">
        <f t="shared" si="1860"/>
        <v>0</v>
      </c>
      <c r="AV157" s="1233">
        <f t="shared" si="2101" ref="AV157:AY160">$F$62</f>
        <v>0</v>
      </c>
      <c r="AW157" s="1233">
        <f t="shared" si="2065"/>
        <v>0</v>
      </c>
      <c r="AX157" s="1233">
        <f t="shared" si="2028"/>
        <v>0</v>
      </c>
      <c r="AY157" s="1233">
        <f t="shared" si="1990"/>
        <v>0</v>
      </c>
      <c r="AZ157" s="1233">
        <f t="shared" si="1951"/>
        <v>0</v>
      </c>
      <c r="BA157" s="1233">
        <f t="shared" si="1911"/>
        <v>0</v>
      </c>
      <c r="BB157" s="1233">
        <f t="shared" si="1860"/>
        <v>0</v>
      </c>
      <c r="BC157" s="1233">
        <f t="shared" si="1831"/>
        <v>0</v>
      </c>
      <c r="BD157" s="1233">
        <f t="shared" si="1792"/>
        <v>0</v>
      </c>
      <c r="BE157" s="1233">
        <f t="shared" si="1754"/>
        <v>0</v>
      </c>
      <c r="BF157" s="1233">
        <f t="shared" si="1717"/>
        <v>0</v>
      </c>
      <c r="BG157" s="1233">
        <f t="shared" si="1681"/>
        <v>0</v>
      </c>
      <c r="BH157" s="1233">
        <f t="shared" si="1646"/>
        <v>0</v>
      </c>
      <c r="BI157" s="1233">
        <f t="shared" si="1611"/>
        <v>0</v>
      </c>
      <c r="BJ157" s="1233">
        <f t="shared" si="1576"/>
        <v>0</v>
      </c>
      <c r="BK157" s="1233">
        <f t="shared" si="1541"/>
        <v>0</v>
      </c>
      <c r="BL157" s="1233">
        <f t="shared" si="2117" ref="BL157:BZ171">$F$46</f>
        <v>0</v>
      </c>
      <c r="BM157" s="1233">
        <f t="shared" si="2081"/>
        <v>0</v>
      </c>
      <c r="BN157" s="1233">
        <f t="shared" si="2044"/>
        <v>0</v>
      </c>
      <c r="BO157" s="1233">
        <f t="shared" si="2006"/>
        <v>0</v>
      </c>
      <c r="BP157" s="1233">
        <f t="shared" si="1967"/>
        <v>0</v>
      </c>
      <c r="BQ157" s="1233">
        <f t="shared" si="1927"/>
        <v>0</v>
      </c>
      <c r="BR157" s="1233">
        <f t="shared" si="1887"/>
        <v>0</v>
      </c>
      <c r="BS157" s="1233">
        <f t="shared" si="1847"/>
        <v>0</v>
      </c>
      <c r="BT157" s="1233">
        <f t="shared" si="1808"/>
        <v>91149</v>
      </c>
      <c r="BU157" s="1233">
        <f t="shared" si="1770"/>
        <v>70894</v>
      </c>
      <c r="BV157" s="1233">
        <f t="shared" si="1733"/>
        <v>81022</v>
      </c>
      <c r="BW157" s="1233">
        <f t="shared" si="1697"/>
        <v>91149</v>
      </c>
      <c r="BX157" s="1233">
        <f t="shared" si="1662"/>
        <v>101277</v>
      </c>
      <c r="BY157" s="1233">
        <f t="shared" si="1627"/>
        <v>101277</v>
      </c>
      <c r="BZ157" s="1233">
        <f t="shared" si="1592"/>
        <v>101277</v>
      </c>
      <c r="CA157" s="208"/>
      <c r="CB157" s="208"/>
      <c r="CC157" s="208"/>
      <c r="CD157" s="211"/>
    </row>
    <row r="158" ht="18" customHeight="1">
      <c r="A158" s="207"/>
      <c r="B158" s="208"/>
      <c r="C158" s="208"/>
      <c r="D158" s="208"/>
      <c r="E158" s="208"/>
      <c r="F158" s="208"/>
      <c r="G158" s="1194"/>
      <c r="H158" s="208"/>
      <c r="I158" s="208"/>
      <c r="J158" s="208"/>
      <c r="K158" s="208"/>
      <c r="L158" s="208"/>
      <c r="M158" s="208"/>
      <c r="N158" s="208"/>
      <c r="O158" s="208"/>
      <c r="P158" s="208"/>
      <c r="Q158" s="208"/>
      <c r="R158" s="208"/>
      <c r="S158" s="208"/>
      <c r="T158" s="208"/>
      <c r="U158" s="208"/>
      <c r="V158" s="208"/>
      <c r="W158" s="208"/>
      <c r="X158" s="208"/>
      <c r="Y158" s="208"/>
      <c r="Z158" s="208"/>
      <c r="AA158" s="208"/>
      <c r="AB158" s="208"/>
      <c r="AC158" s="208"/>
      <c r="AD158" s="208"/>
      <c r="AE158" s="208"/>
      <c r="AF158" s="208"/>
      <c r="AG158" s="208"/>
      <c r="AH158" s="1233"/>
      <c r="AI158" s="1233"/>
      <c r="AJ158" s="1233"/>
      <c r="AK158" s="1233"/>
      <c r="AL158" s="1233"/>
      <c r="AM158" s="1233"/>
      <c r="AN158" s="1233"/>
      <c r="AO158" s="1233"/>
      <c r="AP158" s="1233"/>
      <c r="AQ158" s="1233"/>
      <c r="AR158" s="1233">
        <f t="shared" si="1860"/>
        <v>0</v>
      </c>
      <c r="AS158" s="1233">
        <f t="shared" si="1860"/>
        <v>0</v>
      </c>
      <c r="AT158" s="1233">
        <f t="shared" si="1860"/>
        <v>0</v>
      </c>
      <c r="AU158" s="1233">
        <f t="shared" si="1860"/>
        <v>0</v>
      </c>
      <c r="AV158" s="1233">
        <f t="shared" si="1860"/>
        <v>0</v>
      </c>
      <c r="AW158" s="1233">
        <f t="shared" si="2101"/>
        <v>0</v>
      </c>
      <c r="AX158" s="1233">
        <f t="shared" si="2065"/>
        <v>0</v>
      </c>
      <c r="AY158" s="1233">
        <f t="shared" si="2028"/>
        <v>0</v>
      </c>
      <c r="AZ158" s="1233">
        <f t="shared" si="1990"/>
        <v>0</v>
      </c>
      <c r="BA158" s="1233">
        <f t="shared" si="1951"/>
        <v>0</v>
      </c>
      <c r="BB158" s="1233">
        <f t="shared" si="1911"/>
        <v>0</v>
      </c>
      <c r="BC158" s="1233">
        <f t="shared" si="1860"/>
        <v>0</v>
      </c>
      <c r="BD158" s="1233">
        <f t="shared" si="1831"/>
        <v>0</v>
      </c>
      <c r="BE158" s="1233">
        <f t="shared" si="1792"/>
        <v>0</v>
      </c>
      <c r="BF158" s="1233">
        <f t="shared" si="1754"/>
        <v>0</v>
      </c>
      <c r="BG158" s="1233">
        <f t="shared" si="1717"/>
        <v>0</v>
      </c>
      <c r="BH158" s="1233">
        <f t="shared" si="1681"/>
        <v>0</v>
      </c>
      <c r="BI158" s="1233">
        <f t="shared" si="1646"/>
        <v>0</v>
      </c>
      <c r="BJ158" s="1233">
        <f t="shared" si="1611"/>
        <v>0</v>
      </c>
      <c r="BK158" s="1233">
        <f t="shared" si="1576"/>
        <v>0</v>
      </c>
      <c r="BL158" s="1233">
        <f t="shared" si="2152" ref="BL158:BZ172">$F$47</f>
        <v>0</v>
      </c>
      <c r="BM158" s="1233">
        <f t="shared" si="2117"/>
        <v>0</v>
      </c>
      <c r="BN158" s="1233">
        <f t="shared" si="2081"/>
        <v>0</v>
      </c>
      <c r="BO158" s="1233">
        <f t="shared" si="2044"/>
        <v>0</v>
      </c>
      <c r="BP158" s="1233">
        <f t="shared" si="2006"/>
        <v>0</v>
      </c>
      <c r="BQ158" s="1233">
        <f t="shared" si="1967"/>
        <v>0</v>
      </c>
      <c r="BR158" s="1233">
        <f t="shared" si="1927"/>
        <v>0</v>
      </c>
      <c r="BS158" s="1233">
        <f t="shared" si="1887"/>
        <v>0</v>
      </c>
      <c r="BT158" s="1233">
        <f t="shared" si="1847"/>
        <v>0</v>
      </c>
      <c r="BU158" s="1233">
        <f t="shared" si="1808"/>
        <v>91149</v>
      </c>
      <c r="BV158" s="1233">
        <f t="shared" si="1770"/>
        <v>70894</v>
      </c>
      <c r="BW158" s="1233">
        <f t="shared" si="1733"/>
        <v>81022</v>
      </c>
      <c r="BX158" s="1233">
        <f t="shared" si="1697"/>
        <v>91149</v>
      </c>
      <c r="BY158" s="1233">
        <f t="shared" si="1662"/>
        <v>101277</v>
      </c>
      <c r="BZ158" s="1233">
        <f t="shared" si="1627"/>
        <v>101277</v>
      </c>
      <c r="CA158" s="208"/>
      <c r="CB158" s="208"/>
      <c r="CC158" s="208"/>
      <c r="CD158" s="211"/>
    </row>
    <row r="159" ht="18" customHeight="1">
      <c r="A159" s="207"/>
      <c r="B159" s="208"/>
      <c r="C159" s="208"/>
      <c r="D159" s="208"/>
      <c r="E159" s="208"/>
      <c r="F159" s="208"/>
      <c r="G159" s="1194"/>
      <c r="H159" s="208"/>
      <c r="I159" s="208"/>
      <c r="J159" s="208"/>
      <c r="K159" s="208"/>
      <c r="L159" s="208"/>
      <c r="M159" s="208"/>
      <c r="N159" s="208"/>
      <c r="O159" s="208"/>
      <c r="P159" s="208"/>
      <c r="Q159" s="208"/>
      <c r="R159" s="208"/>
      <c r="S159" s="208"/>
      <c r="T159" s="208"/>
      <c r="U159" s="208"/>
      <c r="V159" s="208"/>
      <c r="W159" s="208"/>
      <c r="X159" s="208"/>
      <c r="Y159" s="208"/>
      <c r="Z159" s="208"/>
      <c r="AA159" s="208"/>
      <c r="AB159" s="208"/>
      <c r="AC159" s="208"/>
      <c r="AD159" s="208"/>
      <c r="AE159" s="208"/>
      <c r="AF159" s="208"/>
      <c r="AG159" s="208"/>
      <c r="AH159" s="208"/>
      <c r="AI159" s="1233"/>
      <c r="AJ159" s="1233"/>
      <c r="AK159" s="1233"/>
      <c r="AL159" s="1233"/>
      <c r="AM159" s="1233"/>
      <c r="AN159" s="1233"/>
      <c r="AO159" s="1233"/>
      <c r="AP159" s="1233"/>
      <c r="AQ159" s="1233"/>
      <c r="AR159" s="1233"/>
      <c r="AS159" s="1233">
        <f t="shared" si="1860"/>
        <v>0</v>
      </c>
      <c r="AT159" s="1233">
        <f t="shared" si="1860"/>
        <v>0</v>
      </c>
      <c r="AU159" s="1233">
        <f t="shared" si="1860"/>
        <v>0</v>
      </c>
      <c r="AV159" s="1233">
        <f t="shared" si="1860"/>
        <v>0</v>
      </c>
      <c r="AW159" s="1233">
        <f t="shared" si="1860"/>
        <v>0</v>
      </c>
      <c r="AX159" s="1233">
        <f t="shared" si="2101"/>
        <v>0</v>
      </c>
      <c r="AY159" s="1233">
        <f t="shared" si="2065"/>
        <v>0</v>
      </c>
      <c r="AZ159" s="1233">
        <f t="shared" si="2028"/>
        <v>0</v>
      </c>
      <c r="BA159" s="1233">
        <f t="shared" si="1990"/>
        <v>0</v>
      </c>
      <c r="BB159" s="1233">
        <f t="shared" si="1951"/>
        <v>0</v>
      </c>
      <c r="BC159" s="1233">
        <f t="shared" si="1911"/>
        <v>0</v>
      </c>
      <c r="BD159" s="1233">
        <f t="shared" si="1860"/>
        <v>0</v>
      </c>
      <c r="BE159" s="1233">
        <f t="shared" si="1831"/>
        <v>0</v>
      </c>
      <c r="BF159" s="1233">
        <f t="shared" si="1792"/>
        <v>0</v>
      </c>
      <c r="BG159" s="1233">
        <f t="shared" si="1754"/>
        <v>0</v>
      </c>
      <c r="BH159" s="1233">
        <f t="shared" si="1717"/>
        <v>0</v>
      </c>
      <c r="BI159" s="1233">
        <f t="shared" si="1681"/>
        <v>0</v>
      </c>
      <c r="BJ159" s="1233">
        <f t="shared" si="1646"/>
        <v>0</v>
      </c>
      <c r="BK159" s="1233">
        <f t="shared" si="1611"/>
        <v>0</v>
      </c>
      <c r="BL159" s="1233">
        <f t="shared" si="2186" ref="BL159:BZ173">$F$48</f>
        <v>0</v>
      </c>
      <c r="BM159" s="1233">
        <f t="shared" si="2152"/>
        <v>0</v>
      </c>
      <c r="BN159" s="1233">
        <f t="shared" si="2117"/>
        <v>0</v>
      </c>
      <c r="BO159" s="1233">
        <f t="shared" si="2081"/>
        <v>0</v>
      </c>
      <c r="BP159" s="1233">
        <f t="shared" si="2044"/>
        <v>0</v>
      </c>
      <c r="BQ159" s="1233">
        <f t="shared" si="2006"/>
        <v>0</v>
      </c>
      <c r="BR159" s="1233">
        <f t="shared" si="1967"/>
        <v>0</v>
      </c>
      <c r="BS159" s="1233">
        <f t="shared" si="1927"/>
        <v>0</v>
      </c>
      <c r="BT159" s="1233">
        <f t="shared" si="1887"/>
        <v>0</v>
      </c>
      <c r="BU159" s="1233">
        <f t="shared" si="1847"/>
        <v>0</v>
      </c>
      <c r="BV159" s="1233">
        <f t="shared" si="1808"/>
        <v>91149</v>
      </c>
      <c r="BW159" s="1233">
        <f t="shared" si="1770"/>
        <v>70894</v>
      </c>
      <c r="BX159" s="1233">
        <f t="shared" si="1733"/>
        <v>81022</v>
      </c>
      <c r="BY159" s="1233">
        <f t="shared" si="1697"/>
        <v>91149</v>
      </c>
      <c r="BZ159" s="1233">
        <f t="shared" si="1662"/>
        <v>101277</v>
      </c>
      <c r="CA159" s="208"/>
      <c r="CB159" s="208"/>
      <c r="CC159" s="208"/>
      <c r="CD159" s="211"/>
    </row>
    <row r="160" ht="18" customHeight="1">
      <c r="A160" s="207"/>
      <c r="B160" s="208"/>
      <c r="C160" s="208"/>
      <c r="D160" s="208"/>
      <c r="E160" s="208"/>
      <c r="F160" s="208"/>
      <c r="G160" s="1194"/>
      <c r="H160" s="208"/>
      <c r="I160" s="208"/>
      <c r="J160" s="208"/>
      <c r="K160" s="208"/>
      <c r="L160" s="208"/>
      <c r="M160" s="208"/>
      <c r="N160" s="208"/>
      <c r="O160" s="208"/>
      <c r="P160" s="208"/>
      <c r="Q160" s="208"/>
      <c r="R160" s="208"/>
      <c r="S160" s="208"/>
      <c r="T160" s="208"/>
      <c r="U160" s="208"/>
      <c r="V160" s="208"/>
      <c r="W160" s="208"/>
      <c r="X160" s="208"/>
      <c r="Y160" s="208"/>
      <c r="Z160" s="208"/>
      <c r="AA160" s="208"/>
      <c r="AB160" s="208"/>
      <c r="AC160" s="208"/>
      <c r="AD160" s="208"/>
      <c r="AE160" s="208"/>
      <c r="AF160" s="208"/>
      <c r="AG160" s="208"/>
      <c r="AH160" s="208"/>
      <c r="AI160" s="208"/>
      <c r="AJ160" s="1233"/>
      <c r="AK160" s="1233"/>
      <c r="AL160" s="1233"/>
      <c r="AM160" s="1233"/>
      <c r="AN160" s="1233"/>
      <c r="AO160" s="1233"/>
      <c r="AP160" s="1233"/>
      <c r="AQ160" s="1233"/>
      <c r="AR160" s="1233"/>
      <c r="AS160" s="1233"/>
      <c r="AT160" s="1233">
        <f t="shared" si="1860"/>
        <v>0</v>
      </c>
      <c r="AU160" s="1233">
        <f t="shared" si="1860"/>
        <v>0</v>
      </c>
      <c r="AV160" s="1233">
        <f t="shared" si="1860"/>
        <v>0</v>
      </c>
      <c r="AW160" s="1233">
        <f t="shared" si="1860"/>
        <v>0</v>
      </c>
      <c r="AX160" s="1233">
        <f t="shared" si="1860"/>
        <v>0</v>
      </c>
      <c r="AY160" s="1233">
        <f t="shared" si="2101"/>
        <v>0</v>
      </c>
      <c r="AZ160" s="1233">
        <f t="shared" si="2065"/>
        <v>0</v>
      </c>
      <c r="BA160" s="1233">
        <f t="shared" si="2028"/>
        <v>0</v>
      </c>
      <c r="BB160" s="1233">
        <f t="shared" si="1990"/>
        <v>0</v>
      </c>
      <c r="BC160" s="1233">
        <f t="shared" si="1951"/>
        <v>0</v>
      </c>
      <c r="BD160" s="1233">
        <f t="shared" si="1911"/>
        <v>0</v>
      </c>
      <c r="BE160" s="1233">
        <f t="shared" si="1860"/>
        <v>0</v>
      </c>
      <c r="BF160" s="1233">
        <f t="shared" si="1831"/>
        <v>0</v>
      </c>
      <c r="BG160" s="1233">
        <f t="shared" si="1792"/>
        <v>0</v>
      </c>
      <c r="BH160" s="1233">
        <f t="shared" si="1754"/>
        <v>0</v>
      </c>
      <c r="BI160" s="1233">
        <f t="shared" si="1717"/>
        <v>0</v>
      </c>
      <c r="BJ160" s="1233">
        <f t="shared" si="1681"/>
        <v>0</v>
      </c>
      <c r="BK160" s="1233">
        <f t="shared" si="1646"/>
        <v>0</v>
      </c>
      <c r="BL160" s="1233">
        <f t="shared" si="2219" ref="BL160:BZ174">$F$49</f>
        <v>0</v>
      </c>
      <c r="BM160" s="1233">
        <f t="shared" si="2186"/>
        <v>0</v>
      </c>
      <c r="BN160" s="1233">
        <f t="shared" si="2152"/>
        <v>0</v>
      </c>
      <c r="BO160" s="1233">
        <f t="shared" si="2117"/>
        <v>0</v>
      </c>
      <c r="BP160" s="1233">
        <f t="shared" si="2081"/>
        <v>0</v>
      </c>
      <c r="BQ160" s="1233">
        <f t="shared" si="2044"/>
        <v>0</v>
      </c>
      <c r="BR160" s="1233">
        <f t="shared" si="2006"/>
        <v>0</v>
      </c>
      <c r="BS160" s="1233">
        <f t="shared" si="1967"/>
        <v>0</v>
      </c>
      <c r="BT160" s="1233">
        <f t="shared" si="1927"/>
        <v>0</v>
      </c>
      <c r="BU160" s="1233">
        <f t="shared" si="1887"/>
        <v>0</v>
      </c>
      <c r="BV160" s="1233">
        <f t="shared" si="1847"/>
        <v>0</v>
      </c>
      <c r="BW160" s="1233">
        <f t="shared" si="1808"/>
        <v>91149</v>
      </c>
      <c r="BX160" s="1233">
        <f t="shared" si="1770"/>
        <v>70894</v>
      </c>
      <c r="BY160" s="1233">
        <f t="shared" si="1733"/>
        <v>81022</v>
      </c>
      <c r="BZ160" s="1233">
        <f t="shared" si="1697"/>
        <v>91149</v>
      </c>
      <c r="CA160" s="208"/>
      <c r="CB160" s="208"/>
      <c r="CC160" s="208"/>
      <c r="CD160" s="211"/>
    </row>
    <row r="161" ht="18" customHeight="1">
      <c r="A161" s="207"/>
      <c r="B161" s="208"/>
      <c r="C161" s="208"/>
      <c r="D161" s="208"/>
      <c r="E161" s="208"/>
      <c r="F161" s="208"/>
      <c r="G161" s="1194"/>
      <c r="H161" s="208"/>
      <c r="I161" s="208"/>
      <c r="J161" s="208"/>
      <c r="K161" s="208"/>
      <c r="L161" s="208"/>
      <c r="M161" s="208"/>
      <c r="N161" s="208"/>
      <c r="O161" s="208"/>
      <c r="P161" s="208"/>
      <c r="Q161" s="208"/>
      <c r="R161" s="208"/>
      <c r="S161" s="208"/>
      <c r="T161" s="208"/>
      <c r="U161" s="208"/>
      <c r="V161" s="208"/>
      <c r="W161" s="208"/>
      <c r="X161" s="208"/>
      <c r="Y161" s="208"/>
      <c r="Z161" s="208"/>
      <c r="AA161" s="208"/>
      <c r="AB161" s="208"/>
      <c r="AC161" s="208"/>
      <c r="AD161" s="208"/>
      <c r="AE161" s="208"/>
      <c r="AF161" s="208"/>
      <c r="AG161" s="208"/>
      <c r="AH161" s="208"/>
      <c r="AI161" s="208"/>
      <c r="AJ161" s="208"/>
      <c r="AK161" s="1233"/>
      <c r="AL161" s="1233"/>
      <c r="AM161" s="1233"/>
      <c r="AN161" s="1233"/>
      <c r="AO161" s="1233"/>
      <c r="AP161" s="1233"/>
      <c r="AQ161" s="1233"/>
      <c r="AR161" s="1233"/>
      <c r="AS161" s="1233"/>
      <c r="AT161" s="1233"/>
      <c r="AU161" s="1233">
        <f t="shared" si="1860"/>
        <v>0</v>
      </c>
      <c r="AV161" s="1233">
        <f t="shared" si="1860"/>
        <v>0</v>
      </c>
      <c r="AW161" s="1233">
        <f t="shared" si="1860"/>
        <v>0</v>
      </c>
      <c r="AX161" s="1233">
        <f t="shared" si="1860"/>
        <v>0</v>
      </c>
      <c r="AY161" s="1233">
        <f>$F$63</f>
        <v>0</v>
      </c>
      <c r="AZ161" s="1233">
        <f t="shared" si="1860"/>
        <v>0</v>
      </c>
      <c r="BA161" s="1233">
        <f t="shared" si="2065"/>
        <v>0</v>
      </c>
      <c r="BB161" s="1233">
        <f t="shared" si="2028"/>
        <v>0</v>
      </c>
      <c r="BC161" s="1233">
        <f t="shared" si="1990"/>
        <v>0</v>
      </c>
      <c r="BD161" s="1233">
        <f t="shared" si="1951"/>
        <v>0</v>
      </c>
      <c r="BE161" s="1233">
        <f t="shared" si="1911"/>
        <v>0</v>
      </c>
      <c r="BF161" s="1233">
        <f t="shared" si="1860"/>
        <v>0</v>
      </c>
      <c r="BG161" s="1233">
        <f t="shared" si="1831"/>
        <v>0</v>
      </c>
      <c r="BH161" s="1233">
        <f t="shared" si="1792"/>
        <v>0</v>
      </c>
      <c r="BI161" s="1233">
        <f t="shared" si="1754"/>
        <v>0</v>
      </c>
      <c r="BJ161" s="1233">
        <f t="shared" si="1717"/>
        <v>0</v>
      </c>
      <c r="BK161" s="1233">
        <f t="shared" si="1681"/>
        <v>0</v>
      </c>
      <c r="BL161" s="1233">
        <f t="shared" si="2251" ref="BL161:BZ175">$F$50</f>
        <v>0</v>
      </c>
      <c r="BM161" s="1233">
        <f t="shared" si="2219"/>
        <v>0</v>
      </c>
      <c r="BN161" s="1233">
        <f t="shared" si="2186"/>
        <v>0</v>
      </c>
      <c r="BO161" s="1233">
        <f t="shared" si="2152"/>
        <v>0</v>
      </c>
      <c r="BP161" s="1233">
        <f t="shared" si="2117"/>
        <v>0</v>
      </c>
      <c r="BQ161" s="1233">
        <f t="shared" si="2081"/>
        <v>0</v>
      </c>
      <c r="BR161" s="1233">
        <f t="shared" si="2044"/>
        <v>0</v>
      </c>
      <c r="BS161" s="1233">
        <f t="shared" si="2006"/>
        <v>0</v>
      </c>
      <c r="BT161" s="1233">
        <f t="shared" si="1967"/>
        <v>0</v>
      </c>
      <c r="BU161" s="1233">
        <f t="shared" si="1927"/>
        <v>0</v>
      </c>
      <c r="BV161" s="1233">
        <f t="shared" si="1887"/>
        <v>0</v>
      </c>
      <c r="BW161" s="1233">
        <f t="shared" si="1847"/>
        <v>0</v>
      </c>
      <c r="BX161" s="1233">
        <f t="shared" si="1808"/>
        <v>91149</v>
      </c>
      <c r="BY161" s="1233">
        <f t="shared" si="1770"/>
        <v>70894</v>
      </c>
      <c r="BZ161" s="1233">
        <f t="shared" si="1733"/>
        <v>81022</v>
      </c>
      <c r="CA161" s="208"/>
      <c r="CB161" s="208"/>
      <c r="CC161" s="208"/>
      <c r="CD161" s="211"/>
    </row>
    <row r="162" ht="18" customHeight="1">
      <c r="A162" s="207"/>
      <c r="B162" s="208"/>
      <c r="C162" s="208"/>
      <c r="D162" s="208"/>
      <c r="E162" s="208"/>
      <c r="F162" s="208"/>
      <c r="G162" s="1194"/>
      <c r="H162" s="208"/>
      <c r="I162" s="208"/>
      <c r="J162" s="208"/>
      <c r="K162" s="208"/>
      <c r="L162" s="208"/>
      <c r="M162" s="208"/>
      <c r="N162" s="208"/>
      <c r="O162" s="208"/>
      <c r="P162" s="208"/>
      <c r="Q162" s="208"/>
      <c r="R162" s="208"/>
      <c r="S162" s="208"/>
      <c r="T162" s="208"/>
      <c r="U162" s="208"/>
      <c r="V162" s="208"/>
      <c r="W162" s="208"/>
      <c r="X162" s="208"/>
      <c r="Y162" s="208"/>
      <c r="Z162" s="208"/>
      <c r="AA162" s="208"/>
      <c r="AB162" s="208"/>
      <c r="AC162" s="208"/>
      <c r="AD162" s="208"/>
      <c r="AE162" s="208"/>
      <c r="AF162" s="208"/>
      <c r="AG162" s="208"/>
      <c r="AH162" s="208"/>
      <c r="AI162" s="208"/>
      <c r="AJ162" s="208"/>
      <c r="AK162" s="208"/>
      <c r="AL162" s="1233"/>
      <c r="AM162" s="1233"/>
      <c r="AN162" s="1233"/>
      <c r="AO162" s="1233"/>
      <c r="AP162" s="1233"/>
      <c r="AQ162" s="1233"/>
      <c r="AR162" s="1233"/>
      <c r="AS162" s="1233"/>
      <c r="AT162" s="1233"/>
      <c r="AU162" s="1233"/>
      <c r="AV162" s="1233">
        <f t="shared" si="2266" ref="AV162:BQ172">$F$56</f>
        <v>0</v>
      </c>
      <c r="AW162" s="1233">
        <f t="shared" si="2266"/>
        <v>0</v>
      </c>
      <c r="AX162" s="1233">
        <f t="shared" si="2266"/>
        <v>0</v>
      </c>
      <c r="AY162" s="1233">
        <v>0</v>
      </c>
      <c r="AZ162" s="1233">
        <f t="shared" si="2266"/>
        <v>0</v>
      </c>
      <c r="BA162" s="1233">
        <f t="shared" si="2266"/>
        <v>0</v>
      </c>
      <c r="BB162" s="1233">
        <f t="shared" si="2065"/>
        <v>0</v>
      </c>
      <c r="BC162" s="1233">
        <f t="shared" si="2028"/>
        <v>0</v>
      </c>
      <c r="BD162" s="1233">
        <f t="shared" si="1990"/>
        <v>0</v>
      </c>
      <c r="BE162" s="1233">
        <f t="shared" si="1951"/>
        <v>0</v>
      </c>
      <c r="BF162" s="1233">
        <f t="shared" si="1911"/>
        <v>0</v>
      </c>
      <c r="BG162" s="1233">
        <f t="shared" si="2266"/>
        <v>0</v>
      </c>
      <c r="BH162" s="1233">
        <f t="shared" si="1831"/>
        <v>0</v>
      </c>
      <c r="BI162" s="1233">
        <f t="shared" si="1792"/>
        <v>0</v>
      </c>
      <c r="BJ162" s="1233">
        <f t="shared" si="1754"/>
        <v>0</v>
      </c>
      <c r="BK162" s="1233">
        <f t="shared" si="1717"/>
        <v>0</v>
      </c>
      <c r="BL162" s="1233">
        <f t="shared" si="2281" ref="BL162:BZ176">$F$51</f>
        <v>0</v>
      </c>
      <c r="BM162" s="1233">
        <f t="shared" si="2251"/>
        <v>0</v>
      </c>
      <c r="BN162" s="1233">
        <f t="shared" si="2219"/>
        <v>0</v>
      </c>
      <c r="BO162" s="1233">
        <f t="shared" si="2186"/>
        <v>0</v>
      </c>
      <c r="BP162" s="1233">
        <f t="shared" si="2152"/>
        <v>0</v>
      </c>
      <c r="BQ162" s="1233">
        <f t="shared" si="2117"/>
        <v>0</v>
      </c>
      <c r="BR162" s="1233">
        <f t="shared" si="2081"/>
        <v>0</v>
      </c>
      <c r="BS162" s="1233">
        <f t="shared" si="2044"/>
        <v>0</v>
      </c>
      <c r="BT162" s="1233">
        <f t="shared" si="2006"/>
        <v>0</v>
      </c>
      <c r="BU162" s="1233">
        <f t="shared" si="1967"/>
        <v>0</v>
      </c>
      <c r="BV162" s="1233">
        <f t="shared" si="1927"/>
        <v>0</v>
      </c>
      <c r="BW162" s="1233">
        <f t="shared" si="1887"/>
        <v>0</v>
      </c>
      <c r="BX162" s="1233">
        <f t="shared" si="1847"/>
        <v>0</v>
      </c>
      <c r="BY162" s="1233">
        <f t="shared" si="1808"/>
        <v>91149</v>
      </c>
      <c r="BZ162" s="1233">
        <f t="shared" si="1770"/>
        <v>70894</v>
      </c>
      <c r="CA162" s="208"/>
      <c r="CB162" s="208"/>
      <c r="CC162" s="208"/>
      <c r="CD162" s="211"/>
    </row>
    <row r="163" ht="18" customHeight="1">
      <c r="A163" s="207"/>
      <c r="B163" s="208"/>
      <c r="C163" s="208"/>
      <c r="D163" s="208"/>
      <c r="E163" s="208"/>
      <c r="F163" s="208"/>
      <c r="G163" s="1194"/>
      <c r="H163" s="208"/>
      <c r="I163" s="208"/>
      <c r="J163" s="208"/>
      <c r="K163" s="208"/>
      <c r="L163" s="208"/>
      <c r="M163" s="208"/>
      <c r="N163" s="208"/>
      <c r="O163" s="208"/>
      <c r="P163" s="208"/>
      <c r="Q163" s="208"/>
      <c r="R163" s="208"/>
      <c r="S163" s="208"/>
      <c r="T163" s="208"/>
      <c r="U163" s="208"/>
      <c r="V163" s="208"/>
      <c r="W163" s="208"/>
      <c r="X163" s="208"/>
      <c r="Y163" s="208"/>
      <c r="Z163" s="208"/>
      <c r="AA163" s="208"/>
      <c r="AB163" s="208"/>
      <c r="AC163" s="208"/>
      <c r="AD163" s="208"/>
      <c r="AE163" s="208"/>
      <c r="AF163" s="208"/>
      <c r="AG163" s="208"/>
      <c r="AH163" s="208"/>
      <c r="AI163" s="208"/>
      <c r="AJ163" s="208"/>
      <c r="AK163" s="208"/>
      <c r="AL163" s="208"/>
      <c r="AM163" s="1233"/>
      <c r="AN163" s="1233"/>
      <c r="AO163" s="1233"/>
      <c r="AP163" s="1233"/>
      <c r="AQ163" s="1233"/>
      <c r="AR163" s="1233"/>
      <c r="AS163" s="1233"/>
      <c r="AT163" s="1233"/>
      <c r="AU163" s="1233"/>
      <c r="AV163" s="1233"/>
      <c r="AW163" s="1233">
        <f t="shared" si="2266"/>
        <v>0</v>
      </c>
      <c r="AX163" s="1233">
        <f t="shared" si="2266"/>
        <v>0</v>
      </c>
      <c r="AY163" s="1233">
        <v>0</v>
      </c>
      <c r="AZ163" s="1233">
        <f t="shared" si="2266"/>
        <v>0</v>
      </c>
      <c r="BA163" s="1233">
        <f t="shared" si="2266"/>
        <v>0</v>
      </c>
      <c r="BB163" s="1233">
        <f t="shared" si="2266"/>
        <v>0</v>
      </c>
      <c r="BC163" s="1233">
        <f t="shared" si="2065"/>
        <v>0</v>
      </c>
      <c r="BD163" s="1233">
        <f t="shared" si="2028"/>
        <v>0</v>
      </c>
      <c r="BE163" s="1233">
        <f t="shared" si="1990"/>
        <v>0</v>
      </c>
      <c r="BF163" s="1233">
        <f t="shared" si="1951"/>
        <v>0</v>
      </c>
      <c r="BG163" s="1233">
        <f t="shared" si="1911"/>
        <v>0</v>
      </c>
      <c r="BH163" s="1233">
        <f t="shared" si="2266"/>
        <v>0</v>
      </c>
      <c r="BI163" s="1233">
        <f t="shared" si="1831"/>
        <v>0</v>
      </c>
      <c r="BJ163" s="1233">
        <f t="shared" si="1792"/>
        <v>0</v>
      </c>
      <c r="BK163" s="1233">
        <f t="shared" si="1754"/>
        <v>0</v>
      </c>
      <c r="BL163" s="1233">
        <f t="shared" si="2310" ref="BL163:BZ177">$F$52</f>
        <v>0</v>
      </c>
      <c r="BM163" s="1233">
        <f t="shared" si="2281"/>
        <v>0</v>
      </c>
      <c r="BN163" s="1233">
        <f t="shared" si="2251"/>
        <v>0</v>
      </c>
      <c r="BO163" s="1233">
        <f t="shared" si="2219"/>
        <v>0</v>
      </c>
      <c r="BP163" s="1233">
        <f t="shared" si="2186"/>
        <v>0</v>
      </c>
      <c r="BQ163" s="1233">
        <f t="shared" si="2152"/>
        <v>0</v>
      </c>
      <c r="BR163" s="1233">
        <f t="shared" si="2117"/>
        <v>0</v>
      </c>
      <c r="BS163" s="1233">
        <f t="shared" si="2081"/>
        <v>0</v>
      </c>
      <c r="BT163" s="1233">
        <f t="shared" si="2044"/>
        <v>0</v>
      </c>
      <c r="BU163" s="1233">
        <f t="shared" si="2006"/>
        <v>0</v>
      </c>
      <c r="BV163" s="1233">
        <f t="shared" si="1967"/>
        <v>0</v>
      </c>
      <c r="BW163" s="1233">
        <f t="shared" si="1927"/>
        <v>0</v>
      </c>
      <c r="BX163" s="1233">
        <f t="shared" si="1887"/>
        <v>0</v>
      </c>
      <c r="BY163" s="1233">
        <f t="shared" si="1847"/>
        <v>0</v>
      </c>
      <c r="BZ163" s="1233">
        <f t="shared" si="1808"/>
        <v>91149</v>
      </c>
      <c r="CA163" s="208"/>
      <c r="CB163" s="208"/>
      <c r="CC163" s="208"/>
      <c r="CD163" s="211"/>
    </row>
    <row r="164" ht="18" customHeight="1">
      <c r="A164" s="207"/>
      <c r="B164" s="208"/>
      <c r="C164" s="208"/>
      <c r="D164" s="208"/>
      <c r="E164" s="208"/>
      <c r="F164" s="208"/>
      <c r="G164" s="1194"/>
      <c r="H164" s="208"/>
      <c r="I164" s="208"/>
      <c r="J164" s="208"/>
      <c r="K164" s="208"/>
      <c r="L164" s="208"/>
      <c r="M164" s="208"/>
      <c r="N164" s="208"/>
      <c r="O164" s="208"/>
      <c r="P164" s="208"/>
      <c r="Q164" s="208"/>
      <c r="R164" s="208"/>
      <c r="S164" s="208"/>
      <c r="T164" s="208"/>
      <c r="U164" s="208"/>
      <c r="V164" s="208"/>
      <c r="W164" s="208"/>
      <c r="X164" s="208"/>
      <c r="Y164" s="208"/>
      <c r="Z164" s="208"/>
      <c r="AA164" s="208"/>
      <c r="AB164" s="208"/>
      <c r="AC164" s="208"/>
      <c r="AD164" s="208"/>
      <c r="AE164" s="208"/>
      <c r="AF164" s="208"/>
      <c r="AG164" s="208"/>
      <c r="AH164" s="208"/>
      <c r="AI164" s="208"/>
      <c r="AJ164" s="208"/>
      <c r="AK164" s="208"/>
      <c r="AL164" s="208"/>
      <c r="AM164" s="208"/>
      <c r="AN164" s="1233"/>
      <c r="AO164" s="1233"/>
      <c r="AP164" s="1233"/>
      <c r="AQ164" s="1233"/>
      <c r="AR164" s="1233"/>
      <c r="AS164" s="1233"/>
      <c r="AT164" s="1233"/>
      <c r="AU164" s="1233"/>
      <c r="AV164" s="1233"/>
      <c r="AW164" s="1233"/>
      <c r="AX164" s="1233">
        <f t="shared" si="2266"/>
        <v>0</v>
      </c>
      <c r="AY164" s="1233">
        <v>0</v>
      </c>
      <c r="AZ164" s="1233">
        <f t="shared" si="2266"/>
        <v>0</v>
      </c>
      <c r="BA164" s="1233">
        <f t="shared" si="2266"/>
        <v>0</v>
      </c>
      <c r="BB164" s="1233">
        <f t="shared" si="2266"/>
        <v>0</v>
      </c>
      <c r="BC164" s="1233">
        <f t="shared" si="2266"/>
        <v>0</v>
      </c>
      <c r="BD164" s="1233">
        <f t="shared" si="2065"/>
        <v>0</v>
      </c>
      <c r="BE164" s="1233">
        <f t="shared" si="2028"/>
        <v>0</v>
      </c>
      <c r="BF164" s="1233">
        <f t="shared" si="1990"/>
        <v>0</v>
      </c>
      <c r="BG164" s="1233">
        <f t="shared" si="1951"/>
        <v>0</v>
      </c>
      <c r="BH164" s="1233">
        <f t="shared" si="1911"/>
        <v>0</v>
      </c>
      <c r="BI164" s="1233">
        <f t="shared" si="2266"/>
        <v>0</v>
      </c>
      <c r="BJ164" s="1233">
        <f t="shared" si="1831"/>
        <v>0</v>
      </c>
      <c r="BK164" s="1233">
        <f t="shared" si="1792"/>
        <v>0</v>
      </c>
      <c r="BL164" s="1233">
        <f t="shared" si="2338" ref="BL164:BZ178">$F$53</f>
        <v>0</v>
      </c>
      <c r="BM164" s="1233">
        <f t="shared" si="2310"/>
        <v>0</v>
      </c>
      <c r="BN164" s="1233">
        <f t="shared" si="2281"/>
        <v>0</v>
      </c>
      <c r="BO164" s="1233">
        <f t="shared" si="2251"/>
        <v>0</v>
      </c>
      <c r="BP164" s="1233">
        <f t="shared" si="2219"/>
        <v>0</v>
      </c>
      <c r="BQ164" s="1233">
        <f t="shared" si="2186"/>
        <v>0</v>
      </c>
      <c r="BR164" s="1233">
        <f t="shared" si="2152"/>
        <v>0</v>
      </c>
      <c r="BS164" s="1233">
        <f t="shared" si="2117"/>
        <v>0</v>
      </c>
      <c r="BT164" s="1233">
        <f t="shared" si="2081"/>
        <v>0</v>
      </c>
      <c r="BU164" s="1233">
        <f t="shared" si="2044"/>
        <v>0</v>
      </c>
      <c r="BV164" s="1233">
        <f t="shared" si="2006"/>
        <v>0</v>
      </c>
      <c r="BW164" s="1233">
        <f t="shared" si="1967"/>
        <v>0</v>
      </c>
      <c r="BX164" s="1233">
        <f t="shared" si="1927"/>
        <v>0</v>
      </c>
      <c r="BY164" s="1233">
        <f t="shared" si="1887"/>
        <v>0</v>
      </c>
      <c r="BZ164" s="1233">
        <f t="shared" si="1847"/>
        <v>0</v>
      </c>
      <c r="CA164" s="208"/>
      <c r="CB164" s="208"/>
      <c r="CC164" s="208"/>
      <c r="CD164" s="211"/>
    </row>
    <row r="165" ht="18" customHeight="1">
      <c r="A165" s="207"/>
      <c r="B165" s="208"/>
      <c r="C165" s="208"/>
      <c r="D165" s="208"/>
      <c r="E165" s="208"/>
      <c r="F165" s="208"/>
      <c r="G165" s="1194"/>
      <c r="H165" s="208"/>
      <c r="I165" s="208"/>
      <c r="J165" s="208"/>
      <c r="K165" s="208"/>
      <c r="L165" s="208"/>
      <c r="M165" s="208"/>
      <c r="N165" s="208"/>
      <c r="O165" s="208"/>
      <c r="P165" s="208"/>
      <c r="Q165" s="208"/>
      <c r="R165" s="208"/>
      <c r="S165" s="208"/>
      <c r="T165" s="208"/>
      <c r="U165" s="208"/>
      <c r="V165" s="208"/>
      <c r="W165" s="208"/>
      <c r="X165" s="208"/>
      <c r="Y165" s="208"/>
      <c r="Z165" s="208"/>
      <c r="AA165" s="208"/>
      <c r="AB165" s="208"/>
      <c r="AC165" s="208"/>
      <c r="AD165" s="208"/>
      <c r="AE165" s="208"/>
      <c r="AF165" s="208"/>
      <c r="AG165" s="208"/>
      <c r="AH165" s="208"/>
      <c r="AI165" s="208"/>
      <c r="AJ165" s="208"/>
      <c r="AK165" s="208"/>
      <c r="AL165" s="208"/>
      <c r="AM165" s="208"/>
      <c r="AN165" s="208"/>
      <c r="AO165" s="1233"/>
      <c r="AP165" s="1233"/>
      <c r="AQ165" s="1233"/>
      <c r="AR165" s="1233"/>
      <c r="AS165" s="1233"/>
      <c r="AT165" s="1233"/>
      <c r="AU165" s="1233"/>
      <c r="AV165" s="1233"/>
      <c r="AW165" s="1233"/>
      <c r="AX165" s="1233"/>
      <c r="AY165" s="1233">
        <v>0</v>
      </c>
      <c r="AZ165" s="1233">
        <f t="shared" si="2266"/>
        <v>0</v>
      </c>
      <c r="BA165" s="1233">
        <f t="shared" si="2266"/>
        <v>0</v>
      </c>
      <c r="BB165" s="1233">
        <f t="shared" si="2266"/>
        <v>0</v>
      </c>
      <c r="BC165" s="1233">
        <f t="shared" si="2266"/>
        <v>0</v>
      </c>
      <c r="BD165" s="1233">
        <f t="shared" si="2266"/>
        <v>0</v>
      </c>
      <c r="BE165" s="1233">
        <f t="shared" si="2065"/>
        <v>0</v>
      </c>
      <c r="BF165" s="1233">
        <f t="shared" si="2028"/>
        <v>0</v>
      </c>
      <c r="BG165" s="1233">
        <f t="shared" si="1990"/>
        <v>0</v>
      </c>
      <c r="BH165" s="1233">
        <f t="shared" si="1951"/>
        <v>0</v>
      </c>
      <c r="BI165" s="1233">
        <f t="shared" si="1911"/>
        <v>0</v>
      </c>
      <c r="BJ165" s="1233">
        <f t="shared" si="2266"/>
        <v>0</v>
      </c>
      <c r="BK165" s="1233">
        <f t="shared" si="1831"/>
        <v>0</v>
      </c>
      <c r="BL165" s="1233">
        <f t="shared" si="2365" ref="BL165:BZ179">$F$54</f>
        <v>0</v>
      </c>
      <c r="BM165" s="1233">
        <f t="shared" si="2338"/>
        <v>0</v>
      </c>
      <c r="BN165" s="1233">
        <f t="shared" si="2310"/>
        <v>0</v>
      </c>
      <c r="BO165" s="1233">
        <f t="shared" si="2281"/>
        <v>0</v>
      </c>
      <c r="BP165" s="1233">
        <f t="shared" si="2251"/>
        <v>0</v>
      </c>
      <c r="BQ165" s="1233">
        <f t="shared" si="2219"/>
        <v>0</v>
      </c>
      <c r="BR165" s="1233">
        <f t="shared" si="2186"/>
        <v>0</v>
      </c>
      <c r="BS165" s="1233">
        <f t="shared" si="2152"/>
        <v>0</v>
      </c>
      <c r="BT165" s="1233">
        <f t="shared" si="2117"/>
        <v>0</v>
      </c>
      <c r="BU165" s="1233">
        <f t="shared" si="2081"/>
        <v>0</v>
      </c>
      <c r="BV165" s="1233">
        <f t="shared" si="2044"/>
        <v>0</v>
      </c>
      <c r="BW165" s="1233">
        <f t="shared" si="2006"/>
        <v>0</v>
      </c>
      <c r="BX165" s="1233">
        <f t="shared" si="1967"/>
        <v>0</v>
      </c>
      <c r="BY165" s="1233">
        <f t="shared" si="1927"/>
        <v>0</v>
      </c>
      <c r="BZ165" s="1233">
        <f t="shared" si="1887"/>
        <v>0</v>
      </c>
      <c r="CA165" s="208"/>
      <c r="CB165" s="208"/>
      <c r="CC165" s="208"/>
      <c r="CD165" s="211"/>
    </row>
    <row r="166" ht="18" customHeight="1">
      <c r="A166" s="207"/>
      <c r="B166" s="208"/>
      <c r="C166" s="208"/>
      <c r="D166" s="208"/>
      <c r="E166" s="208"/>
      <c r="F166" s="208"/>
      <c r="G166" s="1194"/>
      <c r="H166" s="208"/>
      <c r="I166" s="208"/>
      <c r="J166" s="208"/>
      <c r="K166" s="208"/>
      <c r="L166" s="208"/>
      <c r="M166" s="208"/>
      <c r="N166" s="208"/>
      <c r="O166" s="208"/>
      <c r="P166" s="208"/>
      <c r="Q166" s="208"/>
      <c r="R166" s="208"/>
      <c r="S166" s="208"/>
      <c r="T166" s="208"/>
      <c r="U166" s="208"/>
      <c r="V166" s="208"/>
      <c r="W166" s="208"/>
      <c r="X166" s="208"/>
      <c r="Y166" s="208"/>
      <c r="Z166" s="208"/>
      <c r="AA166" s="208"/>
      <c r="AB166" s="208"/>
      <c r="AC166" s="208"/>
      <c r="AD166" s="208"/>
      <c r="AE166" s="208"/>
      <c r="AF166" s="208"/>
      <c r="AG166" s="208"/>
      <c r="AH166" s="208"/>
      <c r="AI166" s="208"/>
      <c r="AJ166" s="208"/>
      <c r="AK166" s="208"/>
      <c r="AL166" s="208"/>
      <c r="AM166" s="208"/>
      <c r="AN166" s="208"/>
      <c r="AO166" s="208"/>
      <c r="AP166" s="1233"/>
      <c r="AQ166" s="1233"/>
      <c r="AR166" s="1233"/>
      <c r="AS166" s="1233"/>
      <c r="AT166" s="1233"/>
      <c r="AU166" s="1233"/>
      <c r="AV166" s="1233"/>
      <c r="AW166" s="1233"/>
      <c r="AX166" s="1233"/>
      <c r="AY166" s="1233"/>
      <c r="AZ166" s="1233">
        <f t="shared" si="2266"/>
        <v>0</v>
      </c>
      <c r="BA166" s="1233">
        <f t="shared" si="2266"/>
        <v>0</v>
      </c>
      <c r="BB166" s="1233">
        <f t="shared" si="2266"/>
        <v>0</v>
      </c>
      <c r="BC166" s="1233">
        <f t="shared" si="2266"/>
        <v>0</v>
      </c>
      <c r="BD166" s="1233">
        <f t="shared" si="2266"/>
        <v>0</v>
      </c>
      <c r="BE166" s="1233">
        <f t="shared" si="2266"/>
        <v>0</v>
      </c>
      <c r="BF166" s="1233">
        <f t="shared" si="2065"/>
        <v>0</v>
      </c>
      <c r="BG166" s="1233">
        <f t="shared" si="2028"/>
        <v>0</v>
      </c>
      <c r="BH166" s="1233">
        <f t="shared" si="1990"/>
        <v>0</v>
      </c>
      <c r="BI166" s="1233">
        <f t="shared" si="1951"/>
        <v>0</v>
      </c>
      <c r="BJ166" s="1233">
        <f t="shared" si="1911"/>
        <v>0</v>
      </c>
      <c r="BK166" s="1233">
        <f t="shared" si="2266"/>
        <v>0</v>
      </c>
      <c r="BL166" s="1233">
        <f t="shared" si="2392" ref="BL166:BZ180">$F$55</f>
        <v>0</v>
      </c>
      <c r="BM166" s="1233">
        <f t="shared" si="2365"/>
        <v>0</v>
      </c>
      <c r="BN166" s="1233">
        <f t="shared" si="2338"/>
        <v>0</v>
      </c>
      <c r="BO166" s="1233">
        <f t="shared" si="2310"/>
        <v>0</v>
      </c>
      <c r="BP166" s="1233">
        <f t="shared" si="2281"/>
        <v>0</v>
      </c>
      <c r="BQ166" s="1233">
        <f t="shared" si="2251"/>
        <v>0</v>
      </c>
      <c r="BR166" s="1233">
        <f t="shared" si="2219"/>
        <v>0</v>
      </c>
      <c r="BS166" s="1233">
        <f t="shared" si="2186"/>
        <v>0</v>
      </c>
      <c r="BT166" s="1233">
        <f t="shared" si="2152"/>
        <v>0</v>
      </c>
      <c r="BU166" s="1233">
        <f t="shared" si="2117"/>
        <v>0</v>
      </c>
      <c r="BV166" s="1233">
        <f t="shared" si="2081"/>
        <v>0</v>
      </c>
      <c r="BW166" s="1233">
        <f t="shared" si="2044"/>
        <v>0</v>
      </c>
      <c r="BX166" s="1233">
        <f t="shared" si="2006"/>
        <v>0</v>
      </c>
      <c r="BY166" s="1233">
        <f t="shared" si="1967"/>
        <v>0</v>
      </c>
      <c r="BZ166" s="1233">
        <f t="shared" si="1927"/>
        <v>0</v>
      </c>
      <c r="CA166" s="208"/>
      <c r="CB166" s="208"/>
      <c r="CC166" s="208"/>
      <c r="CD166" s="211"/>
    </row>
    <row r="167" ht="18" customHeight="1">
      <c r="A167" s="207"/>
      <c r="B167" s="208"/>
      <c r="C167" s="208"/>
      <c r="D167" s="208"/>
      <c r="E167" s="208"/>
      <c r="F167" s="208"/>
      <c r="G167" s="1194"/>
      <c r="H167" s="208"/>
      <c r="I167" s="208"/>
      <c r="J167" s="208"/>
      <c r="K167" s="208"/>
      <c r="L167" s="208"/>
      <c r="M167" s="208"/>
      <c r="N167" s="208"/>
      <c r="O167" s="208"/>
      <c r="P167" s="208"/>
      <c r="Q167" s="208"/>
      <c r="R167" s="208"/>
      <c r="S167" s="208"/>
      <c r="T167" s="208"/>
      <c r="U167" s="208"/>
      <c r="V167" s="208"/>
      <c r="W167" s="208"/>
      <c r="X167" s="208"/>
      <c r="Y167" s="208"/>
      <c r="Z167" s="208"/>
      <c r="AA167" s="208"/>
      <c r="AB167" s="208"/>
      <c r="AC167" s="208"/>
      <c r="AD167" s="208"/>
      <c r="AE167" s="208"/>
      <c r="AF167" s="208"/>
      <c r="AG167" s="208"/>
      <c r="AH167" s="208"/>
      <c r="AI167" s="208"/>
      <c r="AJ167" s="208"/>
      <c r="AK167" s="208"/>
      <c r="AL167" s="208"/>
      <c r="AM167" s="208"/>
      <c r="AN167" s="208"/>
      <c r="AO167" s="208"/>
      <c r="AP167" s="208"/>
      <c r="AQ167" s="1233"/>
      <c r="AR167" s="1233"/>
      <c r="AS167" s="1233"/>
      <c r="AT167" s="1233"/>
      <c r="AU167" s="1233"/>
      <c r="AV167" s="1233"/>
      <c r="AW167" s="1233"/>
      <c r="AX167" s="1233"/>
      <c r="AY167" s="1233"/>
      <c r="AZ167" s="1233"/>
      <c r="BA167" s="1233">
        <f t="shared" si="2266"/>
        <v>0</v>
      </c>
      <c r="BB167" s="1233">
        <f t="shared" si="2266"/>
        <v>0</v>
      </c>
      <c r="BC167" s="1233">
        <f t="shared" si="2266"/>
        <v>0</v>
      </c>
      <c r="BD167" s="1233">
        <f t="shared" si="2266"/>
        <v>0</v>
      </c>
      <c r="BE167" s="1233">
        <f t="shared" si="2266"/>
        <v>0</v>
      </c>
      <c r="BF167" s="1233">
        <f t="shared" si="2266"/>
        <v>0</v>
      </c>
      <c r="BG167" s="1233">
        <f t="shared" si="2065"/>
        <v>0</v>
      </c>
      <c r="BH167" s="1233">
        <f t="shared" si="2028"/>
        <v>0</v>
      </c>
      <c r="BI167" s="1233">
        <f t="shared" si="1990"/>
        <v>0</v>
      </c>
      <c r="BJ167" s="1233">
        <f t="shared" si="1951"/>
        <v>0</v>
      </c>
      <c r="BK167" s="1233">
        <f t="shared" si="1911"/>
        <v>0</v>
      </c>
      <c r="BL167" s="1233">
        <f t="shared" si="2266"/>
        <v>0</v>
      </c>
      <c r="BM167" s="1233">
        <f t="shared" si="2392"/>
        <v>0</v>
      </c>
      <c r="BN167" s="1233">
        <f t="shared" si="2365"/>
        <v>0</v>
      </c>
      <c r="BO167" s="1233">
        <f t="shared" si="2338"/>
        <v>0</v>
      </c>
      <c r="BP167" s="1233">
        <f t="shared" si="2310"/>
        <v>0</v>
      </c>
      <c r="BQ167" s="1233">
        <f t="shared" si="2281"/>
        <v>0</v>
      </c>
      <c r="BR167" s="1233">
        <f t="shared" si="2251"/>
        <v>0</v>
      </c>
      <c r="BS167" s="1233">
        <f t="shared" si="2219"/>
        <v>0</v>
      </c>
      <c r="BT167" s="1233">
        <f t="shared" si="2186"/>
        <v>0</v>
      </c>
      <c r="BU167" s="1233">
        <f t="shared" si="2152"/>
        <v>0</v>
      </c>
      <c r="BV167" s="1233">
        <f t="shared" si="2117"/>
        <v>0</v>
      </c>
      <c r="BW167" s="1233">
        <f t="shared" si="2081"/>
        <v>0</v>
      </c>
      <c r="BX167" s="1233">
        <f t="shared" si="2044"/>
        <v>0</v>
      </c>
      <c r="BY167" s="1233">
        <f t="shared" si="2006"/>
        <v>0</v>
      </c>
      <c r="BZ167" s="1233">
        <f t="shared" si="1967"/>
        <v>0</v>
      </c>
      <c r="CA167" s="208"/>
      <c r="CB167" s="208"/>
      <c r="CC167" s="208"/>
      <c r="CD167" s="211"/>
    </row>
    <row r="168" ht="18" customHeight="1">
      <c r="A168" s="207"/>
      <c r="B168" s="208"/>
      <c r="C168" s="208"/>
      <c r="D168" s="208"/>
      <c r="E168" s="208"/>
      <c r="F168" s="208"/>
      <c r="G168" s="1194"/>
      <c r="H168" s="208"/>
      <c r="I168" s="208"/>
      <c r="J168" s="208"/>
      <c r="K168" s="208"/>
      <c r="L168" s="208"/>
      <c r="M168" s="208"/>
      <c r="N168" s="208"/>
      <c r="O168" s="208"/>
      <c r="P168" s="208"/>
      <c r="Q168" s="208"/>
      <c r="R168" s="208"/>
      <c r="S168" s="208"/>
      <c r="T168" s="208"/>
      <c r="U168" s="208"/>
      <c r="V168" s="208"/>
      <c r="W168" s="208"/>
      <c r="X168" s="208"/>
      <c r="Y168" s="208"/>
      <c r="Z168" s="208"/>
      <c r="AA168" s="208"/>
      <c r="AB168" s="208"/>
      <c r="AC168" s="208"/>
      <c r="AD168" s="208"/>
      <c r="AE168" s="208"/>
      <c r="AF168" s="208"/>
      <c r="AG168" s="208"/>
      <c r="AH168" s="208"/>
      <c r="AI168" s="208"/>
      <c r="AJ168" s="208"/>
      <c r="AK168" s="208"/>
      <c r="AL168" s="208"/>
      <c r="AM168" s="208"/>
      <c r="AN168" s="208"/>
      <c r="AO168" s="208"/>
      <c r="AP168" s="208"/>
      <c r="AQ168" s="208"/>
      <c r="AR168" s="1233"/>
      <c r="AS168" s="1233"/>
      <c r="AT168" s="1233"/>
      <c r="AU168" s="1233"/>
      <c r="AV168" s="1233"/>
      <c r="AW168" s="1233"/>
      <c r="AX168" s="1233"/>
      <c r="AY168" s="1233"/>
      <c r="AZ168" s="1233"/>
      <c r="BA168" s="208"/>
      <c r="BB168" s="1233">
        <f t="shared" si="2266"/>
        <v>0</v>
      </c>
      <c r="BC168" s="1233">
        <f t="shared" si="2266"/>
        <v>0</v>
      </c>
      <c r="BD168" s="1233">
        <f t="shared" si="2266"/>
        <v>0</v>
      </c>
      <c r="BE168" s="1233">
        <f t="shared" si="2266"/>
        <v>0</v>
      </c>
      <c r="BF168" s="1233">
        <f t="shared" si="2266"/>
        <v>0</v>
      </c>
      <c r="BG168" s="1233">
        <f t="shared" si="2266"/>
        <v>0</v>
      </c>
      <c r="BH168" s="1233">
        <f t="shared" si="2065"/>
        <v>0</v>
      </c>
      <c r="BI168" s="1233">
        <f t="shared" si="2028"/>
        <v>0</v>
      </c>
      <c r="BJ168" s="1233">
        <f t="shared" si="1990"/>
        <v>0</v>
      </c>
      <c r="BK168" s="1233">
        <f t="shared" si="1951"/>
        <v>0</v>
      </c>
      <c r="BL168" s="1233">
        <f t="shared" si="2443" ref="BL168:BZ182">$F$57</f>
        <v>0</v>
      </c>
      <c r="BM168" s="1233">
        <f t="shared" si="2266"/>
        <v>0</v>
      </c>
      <c r="BN168" s="1233">
        <f t="shared" si="2392"/>
        <v>0</v>
      </c>
      <c r="BO168" s="1233">
        <f t="shared" si="2365"/>
        <v>0</v>
      </c>
      <c r="BP168" s="1233">
        <f t="shared" si="2338"/>
        <v>0</v>
      </c>
      <c r="BQ168" s="1233">
        <f t="shared" si="2310"/>
        <v>0</v>
      </c>
      <c r="BR168" s="1233">
        <f t="shared" si="2281"/>
        <v>0</v>
      </c>
      <c r="BS168" s="1233">
        <f t="shared" si="2251"/>
        <v>0</v>
      </c>
      <c r="BT168" s="1233">
        <f t="shared" si="2219"/>
        <v>0</v>
      </c>
      <c r="BU168" s="1233">
        <f t="shared" si="2186"/>
        <v>0</v>
      </c>
      <c r="BV168" s="1233">
        <f t="shared" si="2152"/>
        <v>0</v>
      </c>
      <c r="BW168" s="1233">
        <f t="shared" si="2117"/>
        <v>0</v>
      </c>
      <c r="BX168" s="1233">
        <f t="shared" si="2081"/>
        <v>0</v>
      </c>
      <c r="BY168" s="1233">
        <f t="shared" si="2044"/>
        <v>0</v>
      </c>
      <c r="BZ168" s="1233">
        <f t="shared" si="2006"/>
        <v>0</v>
      </c>
      <c r="CA168" s="208"/>
      <c r="CB168" s="208"/>
      <c r="CC168" s="208"/>
      <c r="CD168" s="211"/>
    </row>
    <row r="169" ht="18" customHeight="1">
      <c r="A169" s="207"/>
      <c r="B169" s="208"/>
      <c r="C169" s="208"/>
      <c r="D169" s="208"/>
      <c r="E169" s="208"/>
      <c r="F169" s="208"/>
      <c r="G169" s="1194"/>
      <c r="H169" s="208"/>
      <c r="I169" s="208"/>
      <c r="J169" s="208"/>
      <c r="K169" s="208"/>
      <c r="L169" s="208"/>
      <c r="M169" s="208"/>
      <c r="N169" s="208"/>
      <c r="O169" s="208"/>
      <c r="P169" s="208"/>
      <c r="Q169" s="208"/>
      <c r="R169" s="208"/>
      <c r="S169" s="208"/>
      <c r="T169" s="208"/>
      <c r="U169" s="208"/>
      <c r="V169" s="208"/>
      <c r="W169" s="208"/>
      <c r="X169" s="208"/>
      <c r="Y169" s="208"/>
      <c r="Z169" s="208"/>
      <c r="AA169" s="208"/>
      <c r="AB169" s="208"/>
      <c r="AC169" s="208"/>
      <c r="AD169" s="208"/>
      <c r="AE169" s="208"/>
      <c r="AF169" s="208"/>
      <c r="AG169" s="208"/>
      <c r="AH169" s="208"/>
      <c r="AI169" s="208"/>
      <c r="AJ169" s="208"/>
      <c r="AK169" s="208"/>
      <c r="AL169" s="208"/>
      <c r="AM169" s="208"/>
      <c r="AN169" s="208"/>
      <c r="AO169" s="208"/>
      <c r="AP169" s="208"/>
      <c r="AQ169" s="208"/>
      <c r="AR169" s="208"/>
      <c r="AS169" s="1233"/>
      <c r="AT169" s="1233"/>
      <c r="AU169" s="1233"/>
      <c r="AV169" s="1233"/>
      <c r="AW169" s="1233"/>
      <c r="AX169" s="1233"/>
      <c r="AY169" s="1233"/>
      <c r="AZ169" s="1233"/>
      <c r="BA169" s="208"/>
      <c r="BB169" s="208"/>
      <c r="BC169" s="1233">
        <f t="shared" si="2266"/>
        <v>0</v>
      </c>
      <c r="BD169" s="1233">
        <f t="shared" si="2266"/>
        <v>0</v>
      </c>
      <c r="BE169" s="1233">
        <f t="shared" si="2266"/>
        <v>0</v>
      </c>
      <c r="BF169" s="1233">
        <f t="shared" si="2266"/>
        <v>0</v>
      </c>
      <c r="BG169" s="1233">
        <f t="shared" si="2266"/>
        <v>0</v>
      </c>
      <c r="BH169" s="1233">
        <f t="shared" si="2266"/>
        <v>0</v>
      </c>
      <c r="BI169" s="1233">
        <f t="shared" si="2065"/>
        <v>0</v>
      </c>
      <c r="BJ169" s="1233">
        <f t="shared" si="2028"/>
        <v>0</v>
      </c>
      <c r="BK169" s="1233">
        <f t="shared" si="1990"/>
        <v>0</v>
      </c>
      <c r="BL169" s="1233">
        <f t="shared" si="2467" ref="BL169:BZ183">$F$58</f>
        <v>0</v>
      </c>
      <c r="BM169" s="1233">
        <f t="shared" si="2443"/>
        <v>0</v>
      </c>
      <c r="BN169" s="1233">
        <f t="shared" si="2266"/>
        <v>0</v>
      </c>
      <c r="BO169" s="1233">
        <f t="shared" si="2392"/>
        <v>0</v>
      </c>
      <c r="BP169" s="1233">
        <f t="shared" si="2365"/>
        <v>0</v>
      </c>
      <c r="BQ169" s="1233">
        <f t="shared" si="2338"/>
        <v>0</v>
      </c>
      <c r="BR169" s="1233">
        <f t="shared" si="2310"/>
        <v>0</v>
      </c>
      <c r="BS169" s="1233">
        <f t="shared" si="2281"/>
        <v>0</v>
      </c>
      <c r="BT169" s="1233">
        <f t="shared" si="2251"/>
        <v>0</v>
      </c>
      <c r="BU169" s="1233">
        <f t="shared" si="2219"/>
        <v>0</v>
      </c>
      <c r="BV169" s="1233">
        <f t="shared" si="2186"/>
        <v>0</v>
      </c>
      <c r="BW169" s="1233">
        <f t="shared" si="2152"/>
        <v>0</v>
      </c>
      <c r="BX169" s="1233">
        <f t="shared" si="2117"/>
        <v>0</v>
      </c>
      <c r="BY169" s="1233">
        <f t="shared" si="2081"/>
        <v>0</v>
      </c>
      <c r="BZ169" s="1233">
        <f t="shared" si="2044"/>
        <v>0</v>
      </c>
      <c r="CA169" s="208"/>
      <c r="CB169" s="208"/>
      <c r="CC169" s="208"/>
      <c r="CD169" s="211"/>
    </row>
    <row r="170" ht="18" customHeight="1">
      <c r="A170" s="207"/>
      <c r="B170" s="208"/>
      <c r="C170" s="208"/>
      <c r="D170" s="208"/>
      <c r="E170" s="208"/>
      <c r="F170" s="208"/>
      <c r="G170" s="1194"/>
      <c r="H170" s="208"/>
      <c r="I170" s="208"/>
      <c r="J170" s="208"/>
      <c r="K170" s="208"/>
      <c r="L170" s="208"/>
      <c r="M170" s="208"/>
      <c r="N170" s="208"/>
      <c r="O170" s="208"/>
      <c r="P170" s="208"/>
      <c r="Q170" s="208"/>
      <c r="R170" s="208"/>
      <c r="S170" s="208"/>
      <c r="T170" s="208"/>
      <c r="U170" s="208"/>
      <c r="V170" s="208"/>
      <c r="W170" s="208"/>
      <c r="X170" s="208"/>
      <c r="Y170" s="208"/>
      <c r="Z170" s="208"/>
      <c r="AA170" s="208"/>
      <c r="AB170" s="208"/>
      <c r="AC170" s="208"/>
      <c r="AD170" s="208"/>
      <c r="AE170" s="208"/>
      <c r="AF170" s="208"/>
      <c r="AG170" s="208"/>
      <c r="AH170" s="208"/>
      <c r="AI170" s="208"/>
      <c r="AJ170" s="208"/>
      <c r="AK170" s="208"/>
      <c r="AL170" s="208"/>
      <c r="AM170" s="208"/>
      <c r="AN170" s="208"/>
      <c r="AO170" s="208"/>
      <c r="AP170" s="208"/>
      <c r="AQ170" s="208"/>
      <c r="AR170" s="208"/>
      <c r="AS170" s="208"/>
      <c r="AT170" s="1233"/>
      <c r="AU170" s="1233"/>
      <c r="AV170" s="1233"/>
      <c r="AW170" s="1233"/>
      <c r="AX170" s="1233"/>
      <c r="AY170" s="1233"/>
      <c r="AZ170" s="1233"/>
      <c r="BA170" s="208"/>
      <c r="BB170" s="208"/>
      <c r="BC170" s="208"/>
      <c r="BD170" s="1233">
        <f t="shared" si="2266"/>
        <v>0</v>
      </c>
      <c r="BE170" s="1233">
        <f t="shared" si="2266"/>
        <v>0</v>
      </c>
      <c r="BF170" s="1233">
        <f t="shared" si="2266"/>
        <v>0</v>
      </c>
      <c r="BG170" s="1233">
        <f t="shared" si="2266"/>
        <v>0</v>
      </c>
      <c r="BH170" s="1233">
        <f t="shared" si="2266"/>
        <v>0</v>
      </c>
      <c r="BI170" s="1233">
        <f t="shared" si="2266"/>
        <v>0</v>
      </c>
      <c r="BJ170" s="1233">
        <f t="shared" si="2065"/>
        <v>0</v>
      </c>
      <c r="BK170" s="1233">
        <f t="shared" si="2028"/>
        <v>0</v>
      </c>
      <c r="BL170" s="1233">
        <f t="shared" si="2490" ref="BL170:BZ184">$F$59</f>
        <v>0</v>
      </c>
      <c r="BM170" s="1233">
        <f t="shared" si="2467"/>
        <v>0</v>
      </c>
      <c r="BN170" s="1233">
        <f t="shared" si="2443"/>
        <v>0</v>
      </c>
      <c r="BO170" s="1233">
        <f t="shared" si="2266"/>
        <v>0</v>
      </c>
      <c r="BP170" s="1233">
        <f t="shared" si="2392"/>
        <v>0</v>
      </c>
      <c r="BQ170" s="1233">
        <f t="shared" si="2365"/>
        <v>0</v>
      </c>
      <c r="BR170" s="1233">
        <f t="shared" si="2338"/>
        <v>0</v>
      </c>
      <c r="BS170" s="1233">
        <f t="shared" si="2310"/>
        <v>0</v>
      </c>
      <c r="BT170" s="1233">
        <f t="shared" si="2281"/>
        <v>0</v>
      </c>
      <c r="BU170" s="1233">
        <f t="shared" si="2251"/>
        <v>0</v>
      </c>
      <c r="BV170" s="1233">
        <f t="shared" si="2219"/>
        <v>0</v>
      </c>
      <c r="BW170" s="1233">
        <f t="shared" si="2186"/>
        <v>0</v>
      </c>
      <c r="BX170" s="1233">
        <f t="shared" si="2152"/>
        <v>0</v>
      </c>
      <c r="BY170" s="1233">
        <f t="shared" si="2117"/>
        <v>0</v>
      </c>
      <c r="BZ170" s="1233">
        <f t="shared" si="2081"/>
        <v>0</v>
      </c>
      <c r="CA170" s="208"/>
      <c r="CB170" s="208"/>
      <c r="CC170" s="208"/>
      <c r="CD170" s="211"/>
    </row>
    <row r="171" ht="18" customHeight="1">
      <c r="A171" s="207"/>
      <c r="B171" s="208"/>
      <c r="C171" s="208"/>
      <c r="D171" s="208"/>
      <c r="E171" s="208"/>
      <c r="F171" s="208"/>
      <c r="G171" s="1194"/>
      <c r="H171" s="208"/>
      <c r="I171" s="208"/>
      <c r="J171" s="208"/>
      <c r="K171" s="208"/>
      <c r="L171" s="208"/>
      <c r="M171" s="208"/>
      <c r="N171" s="208"/>
      <c r="O171" s="208"/>
      <c r="P171" s="208"/>
      <c r="Q171" s="208"/>
      <c r="R171" s="208"/>
      <c r="S171" s="208"/>
      <c r="T171" s="208"/>
      <c r="U171" s="208"/>
      <c r="V171" s="208"/>
      <c r="W171" s="208"/>
      <c r="X171" s="208"/>
      <c r="Y171" s="208"/>
      <c r="Z171" s="208"/>
      <c r="AA171" s="208"/>
      <c r="AB171" s="208"/>
      <c r="AC171" s="208"/>
      <c r="AD171" s="208"/>
      <c r="AE171" s="208"/>
      <c r="AF171" s="208"/>
      <c r="AG171" s="208"/>
      <c r="AH171" s="208"/>
      <c r="AI171" s="208"/>
      <c r="AJ171" s="208"/>
      <c r="AK171" s="208"/>
      <c r="AL171" s="208"/>
      <c r="AM171" s="208"/>
      <c r="AN171" s="208"/>
      <c r="AO171" s="208"/>
      <c r="AP171" s="208"/>
      <c r="AQ171" s="208"/>
      <c r="AR171" s="208"/>
      <c r="AS171" s="208"/>
      <c r="AT171" s="208"/>
      <c r="AU171" s="1233"/>
      <c r="AV171" s="1233"/>
      <c r="AW171" s="1233"/>
      <c r="AX171" s="208"/>
      <c r="AY171" s="1233"/>
      <c r="AZ171" s="1233"/>
      <c r="BA171" s="208"/>
      <c r="BB171" s="208"/>
      <c r="BC171" s="208"/>
      <c r="BD171" s="208"/>
      <c r="BE171" s="1233">
        <f t="shared" si="2266"/>
        <v>0</v>
      </c>
      <c r="BF171" s="1233">
        <f t="shared" si="2266"/>
        <v>0</v>
      </c>
      <c r="BG171" s="1233">
        <f t="shared" si="2266"/>
        <v>0</v>
      </c>
      <c r="BH171" s="1233">
        <f t="shared" si="2266"/>
        <v>0</v>
      </c>
      <c r="BI171" s="1233">
        <f t="shared" si="2266"/>
        <v>0</v>
      </c>
      <c r="BJ171" s="1233">
        <f t="shared" si="2266"/>
        <v>0</v>
      </c>
      <c r="BK171" s="1233">
        <f t="shared" si="2065"/>
        <v>0</v>
      </c>
      <c r="BL171" s="1233">
        <f t="shared" si="2512" ref="BL171:BZ185">$F$60</f>
        <v>0</v>
      </c>
      <c r="BM171" s="1233">
        <f t="shared" si="2490"/>
        <v>0</v>
      </c>
      <c r="BN171" s="1233">
        <f t="shared" si="2467"/>
        <v>0</v>
      </c>
      <c r="BO171" s="1233">
        <f t="shared" si="2443"/>
        <v>0</v>
      </c>
      <c r="BP171" s="1233">
        <f t="shared" si="2266"/>
        <v>0</v>
      </c>
      <c r="BQ171" s="1233">
        <f t="shared" si="2392"/>
        <v>0</v>
      </c>
      <c r="BR171" s="1233">
        <f t="shared" si="2365"/>
        <v>0</v>
      </c>
      <c r="BS171" s="1233">
        <f t="shared" si="2338"/>
        <v>0</v>
      </c>
      <c r="BT171" s="1233">
        <f t="shared" si="2310"/>
        <v>0</v>
      </c>
      <c r="BU171" s="1233">
        <f t="shared" si="2281"/>
        <v>0</v>
      </c>
      <c r="BV171" s="1233">
        <f t="shared" si="2251"/>
        <v>0</v>
      </c>
      <c r="BW171" s="1233">
        <f t="shared" si="2219"/>
        <v>0</v>
      </c>
      <c r="BX171" s="1233">
        <f t="shared" si="2186"/>
        <v>0</v>
      </c>
      <c r="BY171" s="1233">
        <f t="shared" si="2152"/>
        <v>0</v>
      </c>
      <c r="BZ171" s="1233">
        <f t="shared" si="2117"/>
        <v>0</v>
      </c>
      <c r="CA171" s="208"/>
      <c r="CB171" s="208"/>
      <c r="CC171" s="208"/>
      <c r="CD171" s="211"/>
    </row>
    <row r="172" ht="18" customHeight="1">
      <c r="A172" s="207"/>
      <c r="B172" s="208"/>
      <c r="C172" s="208"/>
      <c r="D172" s="208"/>
      <c r="E172" s="208"/>
      <c r="F172" s="208"/>
      <c r="G172" s="1194"/>
      <c r="H172" s="208"/>
      <c r="I172" s="208"/>
      <c r="J172" s="208"/>
      <c r="K172" s="208"/>
      <c r="L172" s="208"/>
      <c r="M172" s="208"/>
      <c r="N172" s="208"/>
      <c r="O172" s="208"/>
      <c r="P172" s="208"/>
      <c r="Q172" s="208"/>
      <c r="R172" s="208"/>
      <c r="S172" s="208"/>
      <c r="T172" s="208"/>
      <c r="U172" s="208"/>
      <c r="V172" s="208"/>
      <c r="W172" s="208"/>
      <c r="X172" s="208"/>
      <c r="Y172" s="208"/>
      <c r="Z172" s="208"/>
      <c r="AA172" s="208"/>
      <c r="AB172" s="208"/>
      <c r="AC172" s="208"/>
      <c r="AD172" s="208"/>
      <c r="AE172" s="208"/>
      <c r="AF172" s="208"/>
      <c r="AG172" s="208"/>
      <c r="AH172" s="208"/>
      <c r="AI172" s="208"/>
      <c r="AJ172" s="208"/>
      <c r="AK172" s="208"/>
      <c r="AL172" s="208"/>
      <c r="AM172" s="208"/>
      <c r="AN172" s="208"/>
      <c r="AO172" s="208"/>
      <c r="AP172" s="208"/>
      <c r="AQ172" s="208"/>
      <c r="AR172" s="208"/>
      <c r="AS172" s="208"/>
      <c r="AT172" s="208"/>
      <c r="AU172" s="208"/>
      <c r="AV172" s="1233"/>
      <c r="AW172" s="1233"/>
      <c r="AX172" s="208"/>
      <c r="AY172" s="208"/>
      <c r="AZ172" s="1233"/>
      <c r="BA172" s="208"/>
      <c r="BB172" s="208"/>
      <c r="BC172" s="208"/>
      <c r="BD172" s="208"/>
      <c r="BE172" s="208"/>
      <c r="BF172" s="1233">
        <f t="shared" si="2266"/>
        <v>0</v>
      </c>
      <c r="BG172" s="1233">
        <f t="shared" si="2266"/>
        <v>0</v>
      </c>
      <c r="BH172" s="1233">
        <f t="shared" si="2266"/>
        <v>0</v>
      </c>
      <c r="BI172" s="1233">
        <f t="shared" si="2266"/>
        <v>0</v>
      </c>
      <c r="BJ172" s="1233">
        <f t="shared" si="2266"/>
        <v>0</v>
      </c>
      <c r="BK172" s="1233">
        <f t="shared" si="2266"/>
        <v>0</v>
      </c>
      <c r="BL172" s="1233">
        <f t="shared" si="2533" ref="BL172:BZ186">$F$61</f>
        <v>0</v>
      </c>
      <c r="BM172" s="1233">
        <f t="shared" si="2512"/>
        <v>0</v>
      </c>
      <c r="BN172" s="1233">
        <f t="shared" si="2490"/>
        <v>0</v>
      </c>
      <c r="BO172" s="1233">
        <f t="shared" si="2467"/>
        <v>0</v>
      </c>
      <c r="BP172" s="1233">
        <f t="shared" si="2443"/>
        <v>0</v>
      </c>
      <c r="BQ172" s="1233">
        <f t="shared" si="2266"/>
        <v>0</v>
      </c>
      <c r="BR172" s="1233">
        <f t="shared" si="2392"/>
        <v>0</v>
      </c>
      <c r="BS172" s="1233">
        <f t="shared" si="2365"/>
        <v>0</v>
      </c>
      <c r="BT172" s="1233">
        <f t="shared" si="2338"/>
        <v>0</v>
      </c>
      <c r="BU172" s="1233">
        <f t="shared" si="2310"/>
        <v>0</v>
      </c>
      <c r="BV172" s="1233">
        <f t="shared" si="2281"/>
        <v>0</v>
      </c>
      <c r="BW172" s="1233">
        <f t="shared" si="2251"/>
        <v>0</v>
      </c>
      <c r="BX172" s="1233">
        <f t="shared" si="2219"/>
        <v>0</v>
      </c>
      <c r="BY172" s="1233">
        <f t="shared" si="2186"/>
        <v>0</v>
      </c>
      <c r="BZ172" s="1233">
        <f t="shared" si="2152"/>
        <v>0</v>
      </c>
      <c r="CA172" s="208"/>
      <c r="CB172" s="208"/>
      <c r="CC172" s="208"/>
      <c r="CD172" s="211"/>
    </row>
    <row r="173" ht="18" customHeight="1">
      <c r="A173" s="207"/>
      <c r="B173" s="208"/>
      <c r="C173" s="208"/>
      <c r="D173" s="208"/>
      <c r="E173" s="208"/>
      <c r="F173" s="208"/>
      <c r="G173" s="1194"/>
      <c r="H173" s="208"/>
      <c r="I173" s="208"/>
      <c r="J173" s="208"/>
      <c r="K173" s="208"/>
      <c r="L173" s="208"/>
      <c r="M173" s="208"/>
      <c r="N173" s="208"/>
      <c r="O173" s="208"/>
      <c r="P173" s="208"/>
      <c r="Q173" s="208"/>
      <c r="R173" s="208"/>
      <c r="S173" s="208"/>
      <c r="T173" s="208"/>
      <c r="U173" s="208"/>
      <c r="V173" s="208"/>
      <c r="W173" s="208"/>
      <c r="X173" s="208"/>
      <c r="Y173" s="208"/>
      <c r="Z173" s="208"/>
      <c r="AA173" s="208"/>
      <c r="AB173" s="208"/>
      <c r="AC173" s="208"/>
      <c r="AD173" s="208"/>
      <c r="AE173" s="208"/>
      <c r="AF173" s="208"/>
      <c r="AG173" s="208"/>
      <c r="AH173" s="208"/>
      <c r="AI173" s="208"/>
      <c r="AJ173" s="208"/>
      <c r="AK173" s="208"/>
      <c r="AL173" s="208"/>
      <c r="AM173" s="208"/>
      <c r="AN173" s="208"/>
      <c r="AO173" s="208"/>
      <c r="AP173" s="208"/>
      <c r="AQ173" s="208"/>
      <c r="AR173" s="208"/>
      <c r="AS173" s="208"/>
      <c r="AT173" s="208"/>
      <c r="AU173" s="208"/>
      <c r="AV173" s="208"/>
      <c r="AW173" s="1233"/>
      <c r="AX173" s="208"/>
      <c r="AY173" s="208"/>
      <c r="AZ173" s="208"/>
      <c r="BA173" s="208"/>
      <c r="BB173" s="208"/>
      <c r="BC173" s="208"/>
      <c r="BD173" s="208"/>
      <c r="BE173" s="208"/>
      <c r="BF173" s="208"/>
      <c r="BG173" s="1233">
        <f t="shared" si="2548" ref="BG173:BZ184">$F$56</f>
        <v>0</v>
      </c>
      <c r="BH173" s="1233">
        <f t="shared" si="2548"/>
        <v>0</v>
      </c>
      <c r="BI173" s="1233">
        <f t="shared" si="2548"/>
        <v>0</v>
      </c>
      <c r="BJ173" s="1233">
        <f t="shared" si="2548"/>
        <v>0</v>
      </c>
      <c r="BK173" s="1233">
        <f t="shared" si="2548"/>
        <v>0</v>
      </c>
      <c r="BL173" s="1233">
        <f t="shared" si="2548"/>
        <v>0</v>
      </c>
      <c r="BM173" s="1233">
        <f t="shared" si="2533"/>
        <v>0</v>
      </c>
      <c r="BN173" s="1233">
        <f t="shared" si="2512"/>
        <v>0</v>
      </c>
      <c r="BO173" s="1233">
        <f t="shared" si="2490"/>
        <v>0</v>
      </c>
      <c r="BP173" s="1233">
        <f t="shared" si="2467"/>
        <v>0</v>
      </c>
      <c r="BQ173" s="1233">
        <f t="shared" si="2443"/>
        <v>0</v>
      </c>
      <c r="BR173" s="1233">
        <f t="shared" si="2548"/>
        <v>0</v>
      </c>
      <c r="BS173" s="1233">
        <f t="shared" si="2392"/>
        <v>0</v>
      </c>
      <c r="BT173" s="1233">
        <f t="shared" si="2365"/>
        <v>0</v>
      </c>
      <c r="BU173" s="1233">
        <f t="shared" si="2338"/>
        <v>0</v>
      </c>
      <c r="BV173" s="1233">
        <f t="shared" si="2310"/>
        <v>0</v>
      </c>
      <c r="BW173" s="1233">
        <f t="shared" si="2281"/>
        <v>0</v>
      </c>
      <c r="BX173" s="1233">
        <f t="shared" si="2251"/>
        <v>0</v>
      </c>
      <c r="BY173" s="1233">
        <f t="shared" si="2219"/>
        <v>0</v>
      </c>
      <c r="BZ173" s="1233">
        <f t="shared" si="2186"/>
        <v>0</v>
      </c>
      <c r="CA173" s="208"/>
      <c r="CB173" s="208"/>
      <c r="CC173" s="208"/>
      <c r="CD173" s="211"/>
    </row>
    <row r="174" ht="18" customHeight="1">
      <c r="A174" s="207"/>
      <c r="B174" s="208"/>
      <c r="C174" s="208"/>
      <c r="D174" s="208"/>
      <c r="E174" s="208"/>
      <c r="F174" s="208"/>
      <c r="G174" s="1194"/>
      <c r="H174" s="208"/>
      <c r="I174" s="208"/>
      <c r="J174" s="208"/>
      <c r="K174" s="208"/>
      <c r="L174" s="208"/>
      <c r="M174" s="208"/>
      <c r="N174" s="208"/>
      <c r="O174" s="208"/>
      <c r="P174" s="208"/>
      <c r="Q174" s="208"/>
      <c r="R174" s="208"/>
      <c r="S174" s="208"/>
      <c r="T174" s="208"/>
      <c r="U174" s="208"/>
      <c r="V174" s="208"/>
      <c r="W174" s="208"/>
      <c r="X174" s="208"/>
      <c r="Y174" s="208"/>
      <c r="Z174" s="208"/>
      <c r="AA174" s="208"/>
      <c r="AB174" s="208"/>
      <c r="AC174" s="208"/>
      <c r="AD174" s="208"/>
      <c r="AE174" s="208"/>
      <c r="AF174" s="208"/>
      <c r="AG174" s="208"/>
      <c r="AH174" s="208"/>
      <c r="AI174" s="208"/>
      <c r="AJ174" s="208"/>
      <c r="AK174" s="208"/>
      <c r="AL174" s="208"/>
      <c r="AM174" s="208"/>
      <c r="AN174" s="208"/>
      <c r="AO174" s="208"/>
      <c r="AP174" s="208"/>
      <c r="AQ174" s="208"/>
      <c r="AR174" s="208"/>
      <c r="AS174" s="208"/>
      <c r="AT174" s="208"/>
      <c r="AU174" s="208"/>
      <c r="AV174" s="208"/>
      <c r="AW174" s="208"/>
      <c r="AX174" s="208"/>
      <c r="AY174" s="208"/>
      <c r="AZ174" s="208"/>
      <c r="BA174" s="208"/>
      <c r="BB174" s="208"/>
      <c r="BC174" s="208"/>
      <c r="BD174" s="208"/>
      <c r="BE174" s="208"/>
      <c r="BF174" s="208"/>
      <c r="BG174" s="1184"/>
      <c r="BH174" s="1233">
        <f t="shared" si="2548"/>
        <v>0</v>
      </c>
      <c r="BI174" s="1233">
        <f t="shared" si="2548"/>
        <v>0</v>
      </c>
      <c r="BJ174" s="1233">
        <f t="shared" si="2548"/>
        <v>0</v>
      </c>
      <c r="BK174" s="1233">
        <f t="shared" si="2548"/>
        <v>0</v>
      </c>
      <c r="BL174" s="1233">
        <f t="shared" si="2548"/>
        <v>0</v>
      </c>
      <c r="BM174" s="1233">
        <f t="shared" si="2548"/>
        <v>0</v>
      </c>
      <c r="BN174" s="1233">
        <f t="shared" si="2533"/>
        <v>0</v>
      </c>
      <c r="BO174" s="1233">
        <f t="shared" si="2512"/>
        <v>0</v>
      </c>
      <c r="BP174" s="1233">
        <f t="shared" si="2490"/>
        <v>0</v>
      </c>
      <c r="BQ174" s="1233">
        <f t="shared" si="2467"/>
        <v>0</v>
      </c>
      <c r="BR174" s="1233">
        <f t="shared" si="2443"/>
        <v>0</v>
      </c>
      <c r="BS174" s="1233">
        <f t="shared" si="2548"/>
        <v>0</v>
      </c>
      <c r="BT174" s="1233">
        <f t="shared" si="2392"/>
        <v>0</v>
      </c>
      <c r="BU174" s="1233">
        <f t="shared" si="2365"/>
        <v>0</v>
      </c>
      <c r="BV174" s="1233">
        <f t="shared" si="2338"/>
        <v>0</v>
      </c>
      <c r="BW174" s="1233">
        <f t="shared" si="2310"/>
        <v>0</v>
      </c>
      <c r="BX174" s="1233">
        <f t="shared" si="2281"/>
        <v>0</v>
      </c>
      <c r="BY174" s="1233">
        <f t="shared" si="2251"/>
        <v>0</v>
      </c>
      <c r="BZ174" s="1233">
        <f t="shared" si="2219"/>
        <v>0</v>
      </c>
      <c r="CA174" s="208"/>
      <c r="CB174" s="208"/>
      <c r="CC174" s="208"/>
      <c r="CD174" s="211"/>
    </row>
    <row r="175" ht="18" customHeight="1">
      <c r="A175" s="207"/>
      <c r="B175" s="208"/>
      <c r="C175" s="208"/>
      <c r="D175" s="208"/>
      <c r="E175" s="208"/>
      <c r="F175" s="208"/>
      <c r="G175" s="1194"/>
      <c r="H175" s="208"/>
      <c r="I175" s="208"/>
      <c r="J175" s="208"/>
      <c r="K175" s="208"/>
      <c r="L175" s="208"/>
      <c r="M175" s="208"/>
      <c r="N175" s="208"/>
      <c r="O175" s="208"/>
      <c r="P175" s="208"/>
      <c r="Q175" s="208"/>
      <c r="R175" s="208"/>
      <c r="S175" s="208"/>
      <c r="T175" s="208"/>
      <c r="U175" s="208"/>
      <c r="V175" s="208"/>
      <c r="W175" s="208"/>
      <c r="X175" s="208"/>
      <c r="Y175" s="208"/>
      <c r="Z175" s="208"/>
      <c r="AA175" s="208"/>
      <c r="AB175" s="208"/>
      <c r="AC175" s="208"/>
      <c r="AD175" s="208"/>
      <c r="AE175" s="208"/>
      <c r="AF175" s="208"/>
      <c r="AG175" s="208"/>
      <c r="AH175" s="208"/>
      <c r="AI175" s="208"/>
      <c r="AJ175" s="208"/>
      <c r="AK175" s="208"/>
      <c r="AL175" s="208"/>
      <c r="AM175" s="208"/>
      <c r="AN175" s="208"/>
      <c r="AO175" s="208"/>
      <c r="AP175" s="208"/>
      <c r="AQ175" s="208"/>
      <c r="AR175" s="208"/>
      <c r="AS175" s="208"/>
      <c r="AT175" s="208"/>
      <c r="AU175" s="208"/>
      <c r="AV175" s="208"/>
      <c r="AW175" s="208"/>
      <c r="AX175" s="208"/>
      <c r="AY175" s="208"/>
      <c r="AZ175" s="208"/>
      <c r="BA175" s="208"/>
      <c r="BB175" s="208"/>
      <c r="BC175" s="208"/>
      <c r="BD175" s="208"/>
      <c r="BE175" s="208"/>
      <c r="BF175" s="208"/>
      <c r="BG175" s="1184"/>
      <c r="BH175" s="1184"/>
      <c r="BI175" s="1233">
        <f t="shared" si="2548"/>
        <v>0</v>
      </c>
      <c r="BJ175" s="1233">
        <f t="shared" si="2548"/>
        <v>0</v>
      </c>
      <c r="BK175" s="1233">
        <f t="shared" si="2548"/>
        <v>0</v>
      </c>
      <c r="BL175" s="1233">
        <f t="shared" si="2548"/>
        <v>0</v>
      </c>
      <c r="BM175" s="1233">
        <f t="shared" si="2548"/>
        <v>0</v>
      </c>
      <c r="BN175" s="1233">
        <f t="shared" si="2548"/>
        <v>0</v>
      </c>
      <c r="BO175" s="1233">
        <f t="shared" si="2533"/>
        <v>0</v>
      </c>
      <c r="BP175" s="1233">
        <f t="shared" si="2512"/>
        <v>0</v>
      </c>
      <c r="BQ175" s="1233">
        <f t="shared" si="2490"/>
        <v>0</v>
      </c>
      <c r="BR175" s="1233">
        <f t="shared" si="2467"/>
        <v>0</v>
      </c>
      <c r="BS175" s="1233">
        <f t="shared" si="2443"/>
        <v>0</v>
      </c>
      <c r="BT175" s="1233">
        <f t="shared" si="2548"/>
        <v>0</v>
      </c>
      <c r="BU175" s="1233">
        <f t="shared" si="2392"/>
        <v>0</v>
      </c>
      <c r="BV175" s="1233">
        <f t="shared" si="2365"/>
        <v>0</v>
      </c>
      <c r="BW175" s="1233">
        <f t="shared" si="2338"/>
        <v>0</v>
      </c>
      <c r="BX175" s="1233">
        <f t="shared" si="2310"/>
        <v>0</v>
      </c>
      <c r="BY175" s="1233">
        <f t="shared" si="2281"/>
        <v>0</v>
      </c>
      <c r="BZ175" s="1233">
        <f t="shared" si="2251"/>
        <v>0</v>
      </c>
      <c r="CA175" s="208"/>
      <c r="CB175" s="208"/>
      <c r="CC175" s="208"/>
      <c r="CD175" s="211"/>
    </row>
    <row r="176" ht="18" customHeight="1">
      <c r="A176" s="207"/>
      <c r="B176" s="208"/>
      <c r="C176" s="208"/>
      <c r="D176" s="208"/>
      <c r="E176" s="208"/>
      <c r="F176" s="208"/>
      <c r="G176" s="1194"/>
      <c r="H176" s="208"/>
      <c r="I176" s="208"/>
      <c r="J176" s="208"/>
      <c r="K176" s="208"/>
      <c r="L176" s="208"/>
      <c r="M176" s="208"/>
      <c r="N176" s="208"/>
      <c r="O176" s="208"/>
      <c r="P176" s="208"/>
      <c r="Q176" s="208"/>
      <c r="R176" s="208"/>
      <c r="S176" s="208"/>
      <c r="T176" s="208"/>
      <c r="U176" s="208"/>
      <c r="V176" s="208"/>
      <c r="W176" s="208"/>
      <c r="X176" s="208"/>
      <c r="Y176" s="208"/>
      <c r="Z176" s="208"/>
      <c r="AA176" s="208"/>
      <c r="AB176" s="208"/>
      <c r="AC176" s="208"/>
      <c r="AD176" s="208"/>
      <c r="AE176" s="208"/>
      <c r="AF176" s="208"/>
      <c r="AG176" s="208"/>
      <c r="AH176" s="208"/>
      <c r="AI176" s="208"/>
      <c r="AJ176" s="208"/>
      <c r="AK176" s="208"/>
      <c r="AL176" s="208"/>
      <c r="AM176" s="208"/>
      <c r="AN176" s="208"/>
      <c r="AO176" s="208"/>
      <c r="AP176" s="208"/>
      <c r="AQ176" s="208"/>
      <c r="AR176" s="208"/>
      <c r="AS176" s="208"/>
      <c r="AT176" s="208"/>
      <c r="AU176" s="208"/>
      <c r="AV176" s="208"/>
      <c r="AW176" s="208"/>
      <c r="AX176" s="208"/>
      <c r="AY176" s="208"/>
      <c r="AZ176" s="208"/>
      <c r="BA176" s="208"/>
      <c r="BB176" s="208"/>
      <c r="BC176" s="208"/>
      <c r="BD176" s="208"/>
      <c r="BE176" s="208"/>
      <c r="BF176" s="208"/>
      <c r="BG176" s="1184"/>
      <c r="BH176" s="1184"/>
      <c r="BI176" s="1184"/>
      <c r="BJ176" s="1233">
        <f t="shared" si="2548"/>
        <v>0</v>
      </c>
      <c r="BK176" s="1233">
        <f t="shared" si="2548"/>
        <v>0</v>
      </c>
      <c r="BL176" s="1233">
        <f t="shared" si="2548"/>
        <v>0</v>
      </c>
      <c r="BM176" s="1233">
        <f t="shared" si="2548"/>
        <v>0</v>
      </c>
      <c r="BN176" s="1233">
        <f t="shared" si="2548"/>
        <v>0</v>
      </c>
      <c r="BO176" s="1233">
        <f t="shared" si="2548"/>
        <v>0</v>
      </c>
      <c r="BP176" s="1233">
        <f t="shared" si="2533"/>
        <v>0</v>
      </c>
      <c r="BQ176" s="1233">
        <f t="shared" si="2512"/>
        <v>0</v>
      </c>
      <c r="BR176" s="1233">
        <f t="shared" si="2490"/>
        <v>0</v>
      </c>
      <c r="BS176" s="1233">
        <f t="shared" si="2467"/>
        <v>0</v>
      </c>
      <c r="BT176" s="1233">
        <f t="shared" si="2443"/>
        <v>0</v>
      </c>
      <c r="BU176" s="1233">
        <f t="shared" si="2548"/>
        <v>0</v>
      </c>
      <c r="BV176" s="1233">
        <f t="shared" si="2392"/>
        <v>0</v>
      </c>
      <c r="BW176" s="1233">
        <f t="shared" si="2365"/>
        <v>0</v>
      </c>
      <c r="BX176" s="1233">
        <f t="shared" si="2338"/>
        <v>0</v>
      </c>
      <c r="BY176" s="1233">
        <f t="shared" si="2310"/>
        <v>0</v>
      </c>
      <c r="BZ176" s="1233">
        <f t="shared" si="2281"/>
        <v>0</v>
      </c>
      <c r="CA176" s="208"/>
      <c r="CB176" s="208"/>
      <c r="CC176" s="208"/>
      <c r="CD176" s="211"/>
    </row>
    <row r="177" ht="18" customHeight="1">
      <c r="A177" s="207"/>
      <c r="B177" s="208"/>
      <c r="C177" s="208"/>
      <c r="D177" s="208"/>
      <c r="E177" s="208"/>
      <c r="F177" s="208"/>
      <c r="G177" s="1194"/>
      <c r="H177" s="208"/>
      <c r="I177" s="208"/>
      <c r="J177" s="208"/>
      <c r="K177" s="208"/>
      <c r="L177" s="208"/>
      <c r="M177" s="208"/>
      <c r="N177" s="208"/>
      <c r="O177" s="208"/>
      <c r="P177" s="208"/>
      <c r="Q177" s="208"/>
      <c r="R177" s="208"/>
      <c r="S177" s="208"/>
      <c r="T177" s="208"/>
      <c r="U177" s="208"/>
      <c r="V177" s="208"/>
      <c r="W177" s="208"/>
      <c r="X177" s="208"/>
      <c r="Y177" s="208"/>
      <c r="Z177" s="208"/>
      <c r="AA177" s="208"/>
      <c r="AB177" s="208"/>
      <c r="AC177" s="208"/>
      <c r="AD177" s="208"/>
      <c r="AE177" s="208"/>
      <c r="AF177" s="208"/>
      <c r="AG177" s="208"/>
      <c r="AH177" s="208"/>
      <c r="AI177" s="208"/>
      <c r="AJ177" s="208"/>
      <c r="AK177" s="208"/>
      <c r="AL177" s="208"/>
      <c r="AM177" s="208"/>
      <c r="AN177" s="208"/>
      <c r="AO177" s="208"/>
      <c r="AP177" s="208"/>
      <c r="AQ177" s="208"/>
      <c r="AR177" s="208"/>
      <c r="AS177" s="208"/>
      <c r="AT177" s="208"/>
      <c r="AU177" s="208"/>
      <c r="AV177" s="208"/>
      <c r="AW177" s="208"/>
      <c r="AX177" s="208"/>
      <c r="AY177" s="208"/>
      <c r="AZ177" s="208"/>
      <c r="BA177" s="208"/>
      <c r="BB177" s="208"/>
      <c r="BC177" s="208"/>
      <c r="BD177" s="208"/>
      <c r="BE177" s="208"/>
      <c r="BF177" s="208"/>
      <c r="BG177" s="1184"/>
      <c r="BH177" s="1184"/>
      <c r="BI177" s="1184"/>
      <c r="BJ177" s="1184"/>
      <c r="BK177" s="1233">
        <f t="shared" si="2548"/>
        <v>0</v>
      </c>
      <c r="BL177" s="1233">
        <f t="shared" si="2548"/>
        <v>0</v>
      </c>
      <c r="BM177" s="1233">
        <f t="shared" si="2548"/>
        <v>0</v>
      </c>
      <c r="BN177" s="1233">
        <f t="shared" si="2548"/>
        <v>0</v>
      </c>
      <c r="BO177" s="1233">
        <f t="shared" si="2548"/>
        <v>0</v>
      </c>
      <c r="BP177" s="1233">
        <f t="shared" si="2548"/>
        <v>0</v>
      </c>
      <c r="BQ177" s="1233">
        <f t="shared" si="2533"/>
        <v>0</v>
      </c>
      <c r="BR177" s="1233">
        <f t="shared" si="2512"/>
        <v>0</v>
      </c>
      <c r="BS177" s="1233">
        <f t="shared" si="2490"/>
        <v>0</v>
      </c>
      <c r="BT177" s="1233">
        <f t="shared" si="2467"/>
        <v>0</v>
      </c>
      <c r="BU177" s="1233">
        <f t="shared" si="2443"/>
        <v>0</v>
      </c>
      <c r="BV177" s="1233">
        <f t="shared" si="2548"/>
        <v>0</v>
      </c>
      <c r="BW177" s="1233">
        <f t="shared" si="2392"/>
        <v>0</v>
      </c>
      <c r="BX177" s="1233">
        <f t="shared" si="2365"/>
        <v>0</v>
      </c>
      <c r="BY177" s="1233">
        <f t="shared" si="2338"/>
        <v>0</v>
      </c>
      <c r="BZ177" s="1233">
        <f t="shared" si="2310"/>
        <v>0</v>
      </c>
      <c r="CA177" s="208"/>
      <c r="CB177" s="208"/>
      <c r="CC177" s="208"/>
      <c r="CD177" s="211"/>
    </row>
    <row r="178" ht="18" customHeight="1">
      <c r="A178" s="207"/>
      <c r="B178" s="208"/>
      <c r="C178" s="208"/>
      <c r="D178" s="208"/>
      <c r="E178" s="208"/>
      <c r="F178" s="208"/>
      <c r="G178" s="1194"/>
      <c r="H178" s="208"/>
      <c r="I178" s="208"/>
      <c r="J178" s="208"/>
      <c r="K178" s="208"/>
      <c r="L178" s="208"/>
      <c r="M178" s="208"/>
      <c r="N178" s="208"/>
      <c r="O178" s="208"/>
      <c r="P178" s="208"/>
      <c r="Q178" s="208"/>
      <c r="R178" s="208"/>
      <c r="S178" s="208"/>
      <c r="T178" s="208"/>
      <c r="U178" s="208"/>
      <c r="V178" s="208"/>
      <c r="W178" s="208"/>
      <c r="X178" s="208"/>
      <c r="Y178" s="208"/>
      <c r="Z178" s="208"/>
      <c r="AA178" s="208"/>
      <c r="AB178" s="208"/>
      <c r="AC178" s="208"/>
      <c r="AD178" s="208"/>
      <c r="AE178" s="208"/>
      <c r="AF178" s="208"/>
      <c r="AG178" s="208"/>
      <c r="AH178" s="208"/>
      <c r="AI178" s="208"/>
      <c r="AJ178" s="208"/>
      <c r="AK178" s="208"/>
      <c r="AL178" s="208"/>
      <c r="AM178" s="208"/>
      <c r="AN178" s="208"/>
      <c r="AO178" s="208"/>
      <c r="AP178" s="208"/>
      <c r="AQ178" s="208"/>
      <c r="AR178" s="208"/>
      <c r="AS178" s="208"/>
      <c r="AT178" s="208"/>
      <c r="AU178" s="208"/>
      <c r="AV178" s="208"/>
      <c r="AW178" s="208"/>
      <c r="AX178" s="208"/>
      <c r="AY178" s="208"/>
      <c r="AZ178" s="208"/>
      <c r="BA178" s="208"/>
      <c r="BB178" s="208"/>
      <c r="BC178" s="208"/>
      <c r="BD178" s="208"/>
      <c r="BE178" s="208"/>
      <c r="BF178" s="208"/>
      <c r="BG178" s="1184"/>
      <c r="BH178" s="1184"/>
      <c r="BI178" s="1184"/>
      <c r="BJ178" s="1184"/>
      <c r="BK178" s="1184"/>
      <c r="BL178" s="1233">
        <f t="shared" si="2548"/>
        <v>0</v>
      </c>
      <c r="BM178" s="1233">
        <f t="shared" si="2548"/>
        <v>0</v>
      </c>
      <c r="BN178" s="1233">
        <f t="shared" si="2548"/>
        <v>0</v>
      </c>
      <c r="BO178" s="1233">
        <f t="shared" si="2548"/>
        <v>0</v>
      </c>
      <c r="BP178" s="1233">
        <f t="shared" si="2548"/>
        <v>0</v>
      </c>
      <c r="BQ178" s="1233">
        <f t="shared" si="2548"/>
        <v>0</v>
      </c>
      <c r="BR178" s="1233">
        <f t="shared" si="2533"/>
        <v>0</v>
      </c>
      <c r="BS178" s="1233">
        <f t="shared" si="2512"/>
        <v>0</v>
      </c>
      <c r="BT178" s="1233">
        <f t="shared" si="2490"/>
        <v>0</v>
      </c>
      <c r="BU178" s="1233">
        <f t="shared" si="2467"/>
        <v>0</v>
      </c>
      <c r="BV178" s="1233">
        <f t="shared" si="2443"/>
        <v>0</v>
      </c>
      <c r="BW178" s="1233">
        <f t="shared" si="2548"/>
        <v>0</v>
      </c>
      <c r="BX178" s="1233">
        <f t="shared" si="2392"/>
        <v>0</v>
      </c>
      <c r="BY178" s="1233">
        <f t="shared" si="2365"/>
        <v>0</v>
      </c>
      <c r="BZ178" s="1233">
        <f t="shared" si="2338"/>
        <v>0</v>
      </c>
      <c r="CA178" s="208"/>
      <c r="CB178" s="208"/>
      <c r="CC178" s="208"/>
      <c r="CD178" s="211"/>
    </row>
    <row r="179" ht="18" customHeight="1">
      <c r="A179" s="207"/>
      <c r="B179" s="208"/>
      <c r="C179" s="208"/>
      <c r="D179" s="208"/>
      <c r="E179" s="208"/>
      <c r="F179" s="208"/>
      <c r="G179" s="1194"/>
      <c r="H179" s="208"/>
      <c r="I179" s="208"/>
      <c r="J179" s="208"/>
      <c r="K179" s="208"/>
      <c r="L179" s="208"/>
      <c r="M179" s="208"/>
      <c r="N179" s="208"/>
      <c r="O179" s="208"/>
      <c r="P179" s="208"/>
      <c r="Q179" s="208"/>
      <c r="R179" s="208"/>
      <c r="S179" s="208"/>
      <c r="T179" s="208"/>
      <c r="U179" s="208"/>
      <c r="V179" s="208"/>
      <c r="W179" s="208"/>
      <c r="X179" s="208"/>
      <c r="Y179" s="208"/>
      <c r="Z179" s="208"/>
      <c r="AA179" s="208"/>
      <c r="AB179" s="208"/>
      <c r="AC179" s="208"/>
      <c r="AD179" s="208"/>
      <c r="AE179" s="208"/>
      <c r="AF179" s="208"/>
      <c r="AG179" s="208"/>
      <c r="AH179" s="208"/>
      <c r="AI179" s="208"/>
      <c r="AJ179" s="208"/>
      <c r="AK179" s="208"/>
      <c r="AL179" s="208"/>
      <c r="AM179" s="208"/>
      <c r="AN179" s="208"/>
      <c r="AO179" s="208"/>
      <c r="AP179" s="208"/>
      <c r="AQ179" s="208"/>
      <c r="AR179" s="208"/>
      <c r="AS179" s="208"/>
      <c r="AT179" s="208"/>
      <c r="AU179" s="208"/>
      <c r="AV179" s="208"/>
      <c r="AW179" s="208"/>
      <c r="AX179" s="208"/>
      <c r="AY179" s="208"/>
      <c r="AZ179" s="208"/>
      <c r="BA179" s="208"/>
      <c r="BB179" s="208"/>
      <c r="BC179" s="208"/>
      <c r="BD179" s="208"/>
      <c r="BE179" s="208"/>
      <c r="BF179" s="208"/>
      <c r="BG179" s="1184"/>
      <c r="BH179" s="1184"/>
      <c r="BI179" s="1184"/>
      <c r="BJ179" s="1184"/>
      <c r="BK179" s="1184"/>
      <c r="BL179" s="1184"/>
      <c r="BM179" s="1233">
        <f t="shared" si="2548"/>
        <v>0</v>
      </c>
      <c r="BN179" s="1233">
        <f t="shared" si="2548"/>
        <v>0</v>
      </c>
      <c r="BO179" s="1233">
        <f t="shared" si="2548"/>
        <v>0</v>
      </c>
      <c r="BP179" s="1233">
        <f t="shared" si="2548"/>
        <v>0</v>
      </c>
      <c r="BQ179" s="1233">
        <f t="shared" si="2548"/>
        <v>0</v>
      </c>
      <c r="BR179" s="1233">
        <f t="shared" si="2548"/>
        <v>0</v>
      </c>
      <c r="BS179" s="1233">
        <f t="shared" si="2533"/>
        <v>0</v>
      </c>
      <c r="BT179" s="1233">
        <f t="shared" si="2512"/>
        <v>0</v>
      </c>
      <c r="BU179" s="1233">
        <f t="shared" si="2490"/>
        <v>0</v>
      </c>
      <c r="BV179" s="1233">
        <f t="shared" si="2467"/>
        <v>0</v>
      </c>
      <c r="BW179" s="1233">
        <f t="shared" si="2443"/>
        <v>0</v>
      </c>
      <c r="BX179" s="1233">
        <f t="shared" si="2548"/>
        <v>0</v>
      </c>
      <c r="BY179" s="1233">
        <f t="shared" si="2392"/>
        <v>0</v>
      </c>
      <c r="BZ179" s="1233">
        <f t="shared" si="2365"/>
        <v>0</v>
      </c>
      <c r="CA179" s="208"/>
      <c r="CB179" s="208"/>
      <c r="CC179" s="208"/>
      <c r="CD179" s="211"/>
    </row>
    <row r="180" ht="18" customHeight="1">
      <c r="A180" s="207"/>
      <c r="B180" s="208"/>
      <c r="C180" s="208"/>
      <c r="D180" s="208"/>
      <c r="E180" s="208"/>
      <c r="F180" s="208"/>
      <c r="G180" s="1194"/>
      <c r="H180" s="208"/>
      <c r="I180" s="208"/>
      <c r="J180" s="208"/>
      <c r="K180" s="208"/>
      <c r="L180" s="208"/>
      <c r="M180" s="208"/>
      <c r="N180" s="208"/>
      <c r="O180" s="208"/>
      <c r="P180" s="208"/>
      <c r="Q180" s="208"/>
      <c r="R180" s="208"/>
      <c r="S180" s="208"/>
      <c r="T180" s="208"/>
      <c r="U180" s="208"/>
      <c r="V180" s="208"/>
      <c r="W180" s="208"/>
      <c r="X180" s="208"/>
      <c r="Y180" s="208"/>
      <c r="Z180" s="208"/>
      <c r="AA180" s="208"/>
      <c r="AB180" s="208"/>
      <c r="AC180" s="208"/>
      <c r="AD180" s="208"/>
      <c r="AE180" s="208"/>
      <c r="AF180" s="208"/>
      <c r="AG180" s="208"/>
      <c r="AH180" s="208"/>
      <c r="AI180" s="208"/>
      <c r="AJ180" s="208"/>
      <c r="AK180" s="208"/>
      <c r="AL180" s="208"/>
      <c r="AM180" s="208"/>
      <c r="AN180" s="208"/>
      <c r="AO180" s="208"/>
      <c r="AP180" s="208"/>
      <c r="AQ180" s="208"/>
      <c r="AR180" s="208"/>
      <c r="AS180" s="208"/>
      <c r="AT180" s="208"/>
      <c r="AU180" s="208"/>
      <c r="AV180" s="208"/>
      <c r="AW180" s="208"/>
      <c r="AX180" s="208"/>
      <c r="AY180" s="208"/>
      <c r="AZ180" s="208"/>
      <c r="BA180" s="208"/>
      <c r="BB180" s="208"/>
      <c r="BC180" s="208"/>
      <c r="BD180" s="208"/>
      <c r="BE180" s="208"/>
      <c r="BF180" s="208"/>
      <c r="BG180" s="1184"/>
      <c r="BH180" s="1184"/>
      <c r="BI180" s="1184"/>
      <c r="BJ180" s="1184"/>
      <c r="BK180" s="1184"/>
      <c r="BL180" s="1184"/>
      <c r="BM180" s="1184"/>
      <c r="BN180" s="1233">
        <f t="shared" si="2548"/>
        <v>0</v>
      </c>
      <c r="BO180" s="1233">
        <f t="shared" si="2548"/>
        <v>0</v>
      </c>
      <c r="BP180" s="1233">
        <f t="shared" si="2548"/>
        <v>0</v>
      </c>
      <c r="BQ180" s="1233">
        <f t="shared" si="2548"/>
        <v>0</v>
      </c>
      <c r="BR180" s="1233">
        <f t="shared" si="2548"/>
        <v>0</v>
      </c>
      <c r="BS180" s="1233">
        <f t="shared" si="2548"/>
        <v>0</v>
      </c>
      <c r="BT180" s="1233">
        <f t="shared" si="2533"/>
        <v>0</v>
      </c>
      <c r="BU180" s="1233">
        <f t="shared" si="2512"/>
        <v>0</v>
      </c>
      <c r="BV180" s="1233">
        <f t="shared" si="2490"/>
        <v>0</v>
      </c>
      <c r="BW180" s="1233">
        <f t="shared" si="2467"/>
        <v>0</v>
      </c>
      <c r="BX180" s="1233">
        <f t="shared" si="2443"/>
        <v>0</v>
      </c>
      <c r="BY180" s="1233">
        <f t="shared" si="2548"/>
        <v>0</v>
      </c>
      <c r="BZ180" s="1233">
        <f t="shared" si="2392"/>
        <v>0</v>
      </c>
      <c r="CA180" s="208"/>
      <c r="CB180" s="208"/>
      <c r="CC180" s="208"/>
      <c r="CD180" s="211"/>
    </row>
    <row r="181" ht="18" customHeight="1">
      <c r="A181" s="207"/>
      <c r="B181" s="208"/>
      <c r="C181" s="208"/>
      <c r="D181" s="208"/>
      <c r="E181" s="208"/>
      <c r="F181" s="208"/>
      <c r="G181" s="1194"/>
      <c r="H181" s="208"/>
      <c r="I181" s="208"/>
      <c r="J181" s="208"/>
      <c r="K181" s="208"/>
      <c r="L181" s="208"/>
      <c r="M181" s="208"/>
      <c r="N181" s="208"/>
      <c r="O181" s="208"/>
      <c r="P181" s="208"/>
      <c r="Q181" s="208"/>
      <c r="R181" s="208"/>
      <c r="S181" s="208"/>
      <c r="T181" s="208"/>
      <c r="U181" s="208"/>
      <c r="V181" s="208"/>
      <c r="W181" s="208"/>
      <c r="X181" s="208"/>
      <c r="Y181" s="208"/>
      <c r="Z181" s="208"/>
      <c r="AA181" s="208"/>
      <c r="AB181" s="208"/>
      <c r="AC181" s="208"/>
      <c r="AD181" s="208"/>
      <c r="AE181" s="208"/>
      <c r="AF181" s="208"/>
      <c r="AG181" s="208"/>
      <c r="AH181" s="208"/>
      <c r="AI181" s="208"/>
      <c r="AJ181" s="208"/>
      <c r="AK181" s="208"/>
      <c r="AL181" s="208"/>
      <c r="AM181" s="208"/>
      <c r="AN181" s="208"/>
      <c r="AO181" s="208"/>
      <c r="AP181" s="208"/>
      <c r="AQ181" s="208"/>
      <c r="AR181" s="208"/>
      <c r="AS181" s="208"/>
      <c r="AT181" s="208"/>
      <c r="AU181" s="208"/>
      <c r="AV181" s="208"/>
      <c r="AW181" s="208"/>
      <c r="AX181" s="208"/>
      <c r="AY181" s="208"/>
      <c r="AZ181" s="208"/>
      <c r="BA181" s="208"/>
      <c r="BB181" s="208"/>
      <c r="BC181" s="208"/>
      <c r="BD181" s="208"/>
      <c r="BE181" s="208"/>
      <c r="BF181" s="208"/>
      <c r="BG181" s="1184"/>
      <c r="BH181" s="1184"/>
      <c r="BI181" s="1184"/>
      <c r="BJ181" s="1184"/>
      <c r="BK181" s="1184"/>
      <c r="BL181" s="1184"/>
      <c r="BM181" s="1184"/>
      <c r="BN181" s="1184"/>
      <c r="BO181" s="1233">
        <f t="shared" si="2548"/>
        <v>0</v>
      </c>
      <c r="BP181" s="1233">
        <f t="shared" si="2548"/>
        <v>0</v>
      </c>
      <c r="BQ181" s="1233">
        <f t="shared" si="2548"/>
        <v>0</v>
      </c>
      <c r="BR181" s="1233">
        <f t="shared" si="2548"/>
        <v>0</v>
      </c>
      <c r="BS181" s="1233">
        <f t="shared" si="2548"/>
        <v>0</v>
      </c>
      <c r="BT181" s="1233">
        <f t="shared" si="2548"/>
        <v>0</v>
      </c>
      <c r="BU181" s="1233">
        <f t="shared" si="2533"/>
        <v>0</v>
      </c>
      <c r="BV181" s="1233">
        <f t="shared" si="2512"/>
        <v>0</v>
      </c>
      <c r="BW181" s="1233">
        <f t="shared" si="2490"/>
        <v>0</v>
      </c>
      <c r="BX181" s="1233">
        <f t="shared" si="2467"/>
        <v>0</v>
      </c>
      <c r="BY181" s="1233">
        <f t="shared" si="2443"/>
        <v>0</v>
      </c>
      <c r="BZ181" s="1233">
        <f t="shared" si="2548"/>
        <v>0</v>
      </c>
      <c r="CA181" s="208"/>
      <c r="CB181" s="208"/>
      <c r="CC181" s="208"/>
      <c r="CD181" s="211"/>
    </row>
    <row r="182" ht="18" customHeight="1">
      <c r="A182" s="207"/>
      <c r="B182" s="208"/>
      <c r="C182" s="208"/>
      <c r="D182" s="208"/>
      <c r="E182" s="208"/>
      <c r="F182" s="208"/>
      <c r="G182" s="1194"/>
      <c r="H182" s="208"/>
      <c r="I182" s="208"/>
      <c r="J182" s="208"/>
      <c r="K182" s="208"/>
      <c r="L182" s="208"/>
      <c r="M182" s="208"/>
      <c r="N182" s="208"/>
      <c r="O182" s="208"/>
      <c r="P182" s="208"/>
      <c r="Q182" s="208"/>
      <c r="R182" s="208"/>
      <c r="S182" s="208"/>
      <c r="T182" s="208"/>
      <c r="U182" s="208"/>
      <c r="V182" s="208"/>
      <c r="W182" s="208"/>
      <c r="X182" s="208"/>
      <c r="Y182" s="208"/>
      <c r="Z182" s="208"/>
      <c r="AA182" s="208"/>
      <c r="AB182" s="208"/>
      <c r="AC182" s="208"/>
      <c r="AD182" s="208"/>
      <c r="AE182" s="208"/>
      <c r="AF182" s="208"/>
      <c r="AG182" s="208"/>
      <c r="AH182" s="208"/>
      <c r="AI182" s="208"/>
      <c r="AJ182" s="208"/>
      <c r="AK182" s="208"/>
      <c r="AL182" s="208"/>
      <c r="AM182" s="208"/>
      <c r="AN182" s="208"/>
      <c r="AO182" s="208"/>
      <c r="AP182" s="208"/>
      <c r="AQ182" s="208"/>
      <c r="AR182" s="208"/>
      <c r="AS182" s="208"/>
      <c r="AT182" s="208"/>
      <c r="AU182" s="208"/>
      <c r="AV182" s="208"/>
      <c r="AW182" s="208"/>
      <c r="AX182" s="208"/>
      <c r="AY182" s="208"/>
      <c r="AZ182" s="208"/>
      <c r="BA182" s="208"/>
      <c r="BB182" s="208"/>
      <c r="BC182" s="208"/>
      <c r="BD182" s="208"/>
      <c r="BE182" s="208"/>
      <c r="BF182" s="208"/>
      <c r="BG182" s="1184"/>
      <c r="BH182" s="1184"/>
      <c r="BI182" s="1184"/>
      <c r="BJ182" s="1184"/>
      <c r="BK182" s="1184"/>
      <c r="BL182" s="1184"/>
      <c r="BM182" s="1184"/>
      <c r="BN182" s="1184"/>
      <c r="BO182" s="1184"/>
      <c r="BP182" s="1233">
        <f t="shared" si="2548"/>
        <v>0</v>
      </c>
      <c r="BQ182" s="1233">
        <f t="shared" si="2548"/>
        <v>0</v>
      </c>
      <c r="BR182" s="1233">
        <f t="shared" si="2548"/>
        <v>0</v>
      </c>
      <c r="BS182" s="1233">
        <f t="shared" si="2548"/>
        <v>0</v>
      </c>
      <c r="BT182" s="1233">
        <f t="shared" si="2548"/>
        <v>0</v>
      </c>
      <c r="BU182" s="1233">
        <f t="shared" si="2548"/>
        <v>0</v>
      </c>
      <c r="BV182" s="1233">
        <f t="shared" si="2533"/>
        <v>0</v>
      </c>
      <c r="BW182" s="1233">
        <f t="shared" si="2512"/>
        <v>0</v>
      </c>
      <c r="BX182" s="1233">
        <f t="shared" si="2490"/>
        <v>0</v>
      </c>
      <c r="BY182" s="1233">
        <f t="shared" si="2467"/>
        <v>0</v>
      </c>
      <c r="BZ182" s="1233">
        <f t="shared" si="2443"/>
        <v>0</v>
      </c>
      <c r="CA182" s="208"/>
      <c r="CB182" s="208"/>
      <c r="CC182" s="208"/>
      <c r="CD182" s="211"/>
    </row>
    <row r="183" ht="18" customHeight="1">
      <c r="A183" s="207"/>
      <c r="B183" s="208"/>
      <c r="C183" s="208"/>
      <c r="D183" s="208"/>
      <c r="E183" s="208"/>
      <c r="F183" s="208"/>
      <c r="G183" s="1194"/>
      <c r="H183" s="208"/>
      <c r="I183" s="208"/>
      <c r="J183" s="208"/>
      <c r="K183" s="208"/>
      <c r="L183" s="208"/>
      <c r="M183" s="208"/>
      <c r="N183" s="208"/>
      <c r="O183" s="208"/>
      <c r="P183" s="208"/>
      <c r="Q183" s="208"/>
      <c r="R183" s="208"/>
      <c r="S183" s="208"/>
      <c r="T183" s="208"/>
      <c r="U183" s="208"/>
      <c r="V183" s="208"/>
      <c r="W183" s="208"/>
      <c r="X183" s="208"/>
      <c r="Y183" s="208"/>
      <c r="Z183" s="208"/>
      <c r="AA183" s="208"/>
      <c r="AB183" s="208"/>
      <c r="AC183" s="208"/>
      <c r="AD183" s="208"/>
      <c r="AE183" s="208"/>
      <c r="AF183" s="208"/>
      <c r="AG183" s="208"/>
      <c r="AH183" s="208"/>
      <c r="AI183" s="208"/>
      <c r="AJ183" s="208"/>
      <c r="AK183" s="208"/>
      <c r="AL183" s="208"/>
      <c r="AM183" s="208"/>
      <c r="AN183" s="208"/>
      <c r="AO183" s="208"/>
      <c r="AP183" s="208"/>
      <c r="AQ183" s="208"/>
      <c r="AR183" s="208"/>
      <c r="AS183" s="208"/>
      <c r="AT183" s="208"/>
      <c r="AU183" s="208"/>
      <c r="AV183" s="208"/>
      <c r="AW183" s="208"/>
      <c r="AX183" s="208"/>
      <c r="AY183" s="208"/>
      <c r="AZ183" s="208"/>
      <c r="BA183" s="208"/>
      <c r="BB183" s="208"/>
      <c r="BC183" s="208"/>
      <c r="BD183" s="208"/>
      <c r="BE183" s="208"/>
      <c r="BF183" s="208"/>
      <c r="BG183" s="1184"/>
      <c r="BH183" s="1184"/>
      <c r="BI183" s="1184"/>
      <c r="BJ183" s="1184"/>
      <c r="BK183" s="1184"/>
      <c r="BL183" s="1184"/>
      <c r="BM183" s="1184"/>
      <c r="BN183" s="1184"/>
      <c r="BO183" s="1184"/>
      <c r="BP183" s="1184"/>
      <c r="BQ183" s="1233">
        <f t="shared" si="2548"/>
        <v>0</v>
      </c>
      <c r="BR183" s="1233">
        <f t="shared" si="2548"/>
        <v>0</v>
      </c>
      <c r="BS183" s="1233">
        <f t="shared" si="2548"/>
        <v>0</v>
      </c>
      <c r="BT183" s="1233">
        <f t="shared" si="2548"/>
        <v>0</v>
      </c>
      <c r="BU183" s="1233">
        <f t="shared" si="2548"/>
        <v>0</v>
      </c>
      <c r="BV183" s="1233">
        <f t="shared" si="2548"/>
        <v>0</v>
      </c>
      <c r="BW183" s="1233">
        <f t="shared" si="2533"/>
        <v>0</v>
      </c>
      <c r="BX183" s="1233">
        <f t="shared" si="2512"/>
        <v>0</v>
      </c>
      <c r="BY183" s="1233">
        <f t="shared" si="2490"/>
        <v>0</v>
      </c>
      <c r="BZ183" s="1233">
        <f t="shared" si="2467"/>
        <v>0</v>
      </c>
      <c r="CA183" s="208"/>
      <c r="CB183" s="208"/>
      <c r="CC183" s="208"/>
      <c r="CD183" s="211"/>
    </row>
    <row r="184" ht="18" customHeight="1">
      <c r="A184" s="207"/>
      <c r="B184" s="208"/>
      <c r="C184" s="208"/>
      <c r="D184" s="208"/>
      <c r="E184" s="208"/>
      <c r="F184" s="208"/>
      <c r="G184" s="1194"/>
      <c r="H184" s="208"/>
      <c r="I184" s="208"/>
      <c r="J184" s="208"/>
      <c r="K184" s="208"/>
      <c r="L184" s="208"/>
      <c r="M184" s="208"/>
      <c r="N184" s="208"/>
      <c r="O184" s="208"/>
      <c r="P184" s="208"/>
      <c r="Q184" s="208"/>
      <c r="R184" s="208"/>
      <c r="S184" s="208"/>
      <c r="T184" s="208"/>
      <c r="U184" s="208"/>
      <c r="V184" s="208"/>
      <c r="W184" s="208"/>
      <c r="X184" s="208"/>
      <c r="Y184" s="208"/>
      <c r="Z184" s="208"/>
      <c r="AA184" s="208"/>
      <c r="AB184" s="208"/>
      <c r="AC184" s="208"/>
      <c r="AD184" s="208"/>
      <c r="AE184" s="208"/>
      <c r="AF184" s="208"/>
      <c r="AG184" s="208"/>
      <c r="AH184" s="208"/>
      <c r="AI184" s="208"/>
      <c r="AJ184" s="208"/>
      <c r="AK184" s="208"/>
      <c r="AL184" s="208"/>
      <c r="AM184" s="208"/>
      <c r="AN184" s="208"/>
      <c r="AO184" s="208"/>
      <c r="AP184" s="208"/>
      <c r="AQ184" s="208"/>
      <c r="AR184" s="208"/>
      <c r="AS184" s="208"/>
      <c r="AT184" s="208"/>
      <c r="AU184" s="208"/>
      <c r="AV184" s="208"/>
      <c r="AW184" s="208"/>
      <c r="AX184" s="208"/>
      <c r="AY184" s="208"/>
      <c r="AZ184" s="208"/>
      <c r="BA184" s="208"/>
      <c r="BB184" s="208"/>
      <c r="BC184" s="208"/>
      <c r="BD184" s="208"/>
      <c r="BE184" s="208"/>
      <c r="BF184" s="208"/>
      <c r="BG184" s="1184"/>
      <c r="BH184" s="1184"/>
      <c r="BI184" s="1184"/>
      <c r="BJ184" s="1184"/>
      <c r="BK184" s="1184"/>
      <c r="BL184" s="1184"/>
      <c r="BM184" s="1184"/>
      <c r="BN184" s="1184"/>
      <c r="BO184" s="1184"/>
      <c r="BP184" s="1184"/>
      <c r="BQ184" s="1184"/>
      <c r="BR184" s="1233">
        <f t="shared" si="2548"/>
        <v>0</v>
      </c>
      <c r="BS184" s="1233">
        <f t="shared" si="2548"/>
        <v>0</v>
      </c>
      <c r="BT184" s="1233">
        <f t="shared" si="2548"/>
        <v>0</v>
      </c>
      <c r="BU184" s="1233">
        <f t="shared" si="2548"/>
        <v>0</v>
      </c>
      <c r="BV184" s="1233">
        <f t="shared" si="2548"/>
        <v>0</v>
      </c>
      <c r="BW184" s="1233">
        <f t="shared" si="2548"/>
        <v>0</v>
      </c>
      <c r="BX184" s="1233">
        <f t="shared" si="2533"/>
        <v>0</v>
      </c>
      <c r="BY184" s="1233">
        <f t="shared" si="2512"/>
        <v>0</v>
      </c>
      <c r="BZ184" s="1233">
        <f t="shared" si="2490"/>
        <v>0</v>
      </c>
      <c r="CA184" s="208"/>
      <c r="CB184" s="208"/>
      <c r="CC184" s="208"/>
      <c r="CD184" s="211"/>
    </row>
    <row r="185" ht="18" customHeight="1">
      <c r="A185" s="207"/>
      <c r="B185" s="208"/>
      <c r="C185" s="208"/>
      <c r="D185" s="208"/>
      <c r="E185" s="208"/>
      <c r="F185" s="208"/>
      <c r="G185" s="1194"/>
      <c r="H185" s="208"/>
      <c r="I185" s="208"/>
      <c r="J185" s="208"/>
      <c r="K185" s="208"/>
      <c r="L185" s="208"/>
      <c r="M185" s="208"/>
      <c r="N185" s="208"/>
      <c r="O185" s="208"/>
      <c r="P185" s="208"/>
      <c r="Q185" s="208"/>
      <c r="R185" s="208"/>
      <c r="S185" s="208"/>
      <c r="T185" s="208"/>
      <c r="U185" s="208"/>
      <c r="V185" s="208"/>
      <c r="W185" s="208"/>
      <c r="X185" s="208"/>
      <c r="Y185" s="208"/>
      <c r="Z185" s="208"/>
      <c r="AA185" s="208"/>
      <c r="AB185" s="208"/>
      <c r="AC185" s="208"/>
      <c r="AD185" s="208"/>
      <c r="AE185" s="208"/>
      <c r="AF185" s="208"/>
      <c r="AG185" s="208"/>
      <c r="AH185" s="208"/>
      <c r="AI185" s="208"/>
      <c r="AJ185" s="208"/>
      <c r="AK185" s="208"/>
      <c r="AL185" s="208"/>
      <c r="AM185" s="208"/>
      <c r="AN185" s="208"/>
      <c r="AO185" s="208"/>
      <c r="AP185" s="208"/>
      <c r="AQ185" s="208"/>
      <c r="AR185" s="208"/>
      <c r="AS185" s="208"/>
      <c r="AT185" s="208"/>
      <c r="AU185" s="208"/>
      <c r="AV185" s="208"/>
      <c r="AW185" s="208"/>
      <c r="AX185" s="208"/>
      <c r="AY185" s="208"/>
      <c r="AZ185" s="208"/>
      <c r="BA185" s="208"/>
      <c r="BB185" s="208"/>
      <c r="BC185" s="208"/>
      <c r="BD185" s="208"/>
      <c r="BE185" s="208"/>
      <c r="BF185" s="208"/>
      <c r="BG185" s="1184"/>
      <c r="BH185" s="1184"/>
      <c r="BI185" s="1184"/>
      <c r="BJ185" s="1184"/>
      <c r="BK185" s="1184"/>
      <c r="BL185" s="1184"/>
      <c r="BM185" s="1184"/>
      <c r="BN185" s="1184"/>
      <c r="BO185" s="1184"/>
      <c r="BP185" s="1184"/>
      <c r="BQ185" s="1184"/>
      <c r="BR185" s="1184"/>
      <c r="BS185" s="1233">
        <f t="shared" si="2722" ref="BS185:BZ192">$F$56</f>
        <v>0</v>
      </c>
      <c r="BT185" s="1233">
        <f t="shared" si="2722"/>
        <v>0</v>
      </c>
      <c r="BU185" s="1233">
        <f t="shared" si="2722"/>
        <v>0</v>
      </c>
      <c r="BV185" s="1233">
        <f t="shared" si="2722"/>
        <v>0</v>
      </c>
      <c r="BW185" s="1233">
        <f t="shared" si="2722"/>
        <v>0</v>
      </c>
      <c r="BX185" s="1233">
        <f t="shared" si="2722"/>
        <v>0</v>
      </c>
      <c r="BY185" s="1233">
        <f t="shared" si="2533"/>
        <v>0</v>
      </c>
      <c r="BZ185" s="1233">
        <f t="shared" si="2512"/>
        <v>0</v>
      </c>
      <c r="CA185" s="208"/>
      <c r="CB185" s="208"/>
      <c r="CC185" s="208"/>
      <c r="CD185" s="211"/>
    </row>
    <row r="186" ht="18" customHeight="1">
      <c r="A186" s="207"/>
      <c r="B186" s="208"/>
      <c r="C186" s="208"/>
      <c r="D186" s="208"/>
      <c r="E186" s="208"/>
      <c r="F186" s="208"/>
      <c r="G186" s="1194"/>
      <c r="H186" s="208"/>
      <c r="I186" s="208"/>
      <c r="J186" s="208"/>
      <c r="K186" s="208"/>
      <c r="L186" s="208"/>
      <c r="M186" s="208"/>
      <c r="N186" s="208"/>
      <c r="O186" s="208"/>
      <c r="P186" s="208"/>
      <c r="Q186" s="208"/>
      <c r="R186" s="208"/>
      <c r="S186" s="208"/>
      <c r="T186" s="208"/>
      <c r="U186" s="208"/>
      <c r="V186" s="208"/>
      <c r="W186" s="208"/>
      <c r="X186" s="208"/>
      <c r="Y186" s="208"/>
      <c r="Z186" s="208"/>
      <c r="AA186" s="208"/>
      <c r="AB186" s="208"/>
      <c r="AC186" s="208"/>
      <c r="AD186" s="208"/>
      <c r="AE186" s="208"/>
      <c r="AF186" s="208"/>
      <c r="AG186" s="208"/>
      <c r="AH186" s="208"/>
      <c r="AI186" s="208"/>
      <c r="AJ186" s="208"/>
      <c r="AK186" s="208"/>
      <c r="AL186" s="208"/>
      <c r="AM186" s="208"/>
      <c r="AN186" s="208"/>
      <c r="AO186" s="208"/>
      <c r="AP186" s="208"/>
      <c r="AQ186" s="208"/>
      <c r="AR186" s="208"/>
      <c r="AS186" s="208"/>
      <c r="AT186" s="208"/>
      <c r="AU186" s="208"/>
      <c r="AV186" s="208"/>
      <c r="AW186" s="208"/>
      <c r="AX186" s="208"/>
      <c r="AY186" s="208"/>
      <c r="AZ186" s="208"/>
      <c r="BA186" s="208"/>
      <c r="BB186" s="208"/>
      <c r="BC186" s="208"/>
      <c r="BD186" s="208"/>
      <c r="BE186" s="208"/>
      <c r="BF186" s="208"/>
      <c r="BG186" s="1184"/>
      <c r="BH186" s="1184"/>
      <c r="BI186" s="1184"/>
      <c r="BJ186" s="1184"/>
      <c r="BK186" s="1184"/>
      <c r="BL186" s="1184"/>
      <c r="BM186" s="1184"/>
      <c r="BN186" s="1184"/>
      <c r="BO186" s="1184"/>
      <c r="BP186" s="1184"/>
      <c r="BQ186" s="1184"/>
      <c r="BR186" s="1184"/>
      <c r="BS186" s="1184"/>
      <c r="BT186" s="1233">
        <f t="shared" si="2722"/>
        <v>0</v>
      </c>
      <c r="BU186" s="1233">
        <f t="shared" si="2722"/>
        <v>0</v>
      </c>
      <c r="BV186" s="1233">
        <f t="shared" si="2722"/>
        <v>0</v>
      </c>
      <c r="BW186" s="1233">
        <f t="shared" si="2722"/>
        <v>0</v>
      </c>
      <c r="BX186" s="1233">
        <f t="shared" si="2722"/>
        <v>0</v>
      </c>
      <c r="BY186" s="1233">
        <f t="shared" si="2722"/>
        <v>0</v>
      </c>
      <c r="BZ186" s="1233">
        <f t="shared" si="2533"/>
        <v>0</v>
      </c>
      <c r="CA186" s="208"/>
      <c r="CB186" s="208"/>
      <c r="CC186" s="208"/>
      <c r="CD186" s="211"/>
    </row>
    <row r="187" ht="18" customHeight="1">
      <c r="A187" s="207"/>
      <c r="B187" s="208"/>
      <c r="C187" s="208"/>
      <c r="D187" s="208"/>
      <c r="E187" s="208"/>
      <c r="F187" s="208"/>
      <c r="G187" s="1194"/>
      <c r="H187" s="208"/>
      <c r="I187" s="208"/>
      <c r="J187" s="208"/>
      <c r="K187" s="208"/>
      <c r="L187" s="208"/>
      <c r="M187" s="208"/>
      <c r="N187" s="208"/>
      <c r="O187" s="208"/>
      <c r="P187" s="208"/>
      <c r="Q187" s="208"/>
      <c r="R187" s="208"/>
      <c r="S187" s="208"/>
      <c r="T187" s="208"/>
      <c r="U187" s="208"/>
      <c r="V187" s="208"/>
      <c r="W187" s="208"/>
      <c r="X187" s="208"/>
      <c r="Y187" s="208"/>
      <c r="Z187" s="208"/>
      <c r="AA187" s="208"/>
      <c r="AB187" s="208"/>
      <c r="AC187" s="208"/>
      <c r="AD187" s="208"/>
      <c r="AE187" s="208"/>
      <c r="AF187" s="208"/>
      <c r="AG187" s="208"/>
      <c r="AH187" s="208"/>
      <c r="AI187" s="208"/>
      <c r="AJ187" s="208"/>
      <c r="AK187" s="208"/>
      <c r="AL187" s="208"/>
      <c r="AM187" s="208"/>
      <c r="AN187" s="208"/>
      <c r="AO187" s="208"/>
      <c r="AP187" s="208"/>
      <c r="AQ187" s="208"/>
      <c r="AR187" s="208"/>
      <c r="AS187" s="208"/>
      <c r="AT187" s="208"/>
      <c r="AU187" s="208"/>
      <c r="AV187" s="208"/>
      <c r="AW187" s="208"/>
      <c r="AX187" s="208"/>
      <c r="AY187" s="208"/>
      <c r="AZ187" s="208"/>
      <c r="BA187" s="208"/>
      <c r="BB187" s="208"/>
      <c r="BC187" s="208"/>
      <c r="BD187" s="208"/>
      <c r="BE187" s="208"/>
      <c r="BF187" s="208"/>
      <c r="BG187" s="1184"/>
      <c r="BH187" s="1184"/>
      <c r="BI187" s="1184"/>
      <c r="BJ187" s="1184"/>
      <c r="BK187" s="1184"/>
      <c r="BL187" s="1184"/>
      <c r="BM187" s="1184"/>
      <c r="BN187" s="1184"/>
      <c r="BO187" s="1184"/>
      <c r="BP187" s="1184"/>
      <c r="BQ187" s="1184"/>
      <c r="BR187" s="1184"/>
      <c r="BS187" s="1184"/>
      <c r="BT187" s="1184"/>
      <c r="BU187" s="1233">
        <f t="shared" si="2722"/>
        <v>0</v>
      </c>
      <c r="BV187" s="1233">
        <f t="shared" si="2722"/>
        <v>0</v>
      </c>
      <c r="BW187" s="1233">
        <f t="shared" si="2722"/>
        <v>0</v>
      </c>
      <c r="BX187" s="1233">
        <f t="shared" si="2722"/>
        <v>0</v>
      </c>
      <c r="BY187" s="1233">
        <f t="shared" si="2722"/>
        <v>0</v>
      </c>
      <c r="BZ187" s="1233">
        <f t="shared" si="2722"/>
        <v>0</v>
      </c>
      <c r="CA187" s="208"/>
      <c r="CB187" s="208"/>
      <c r="CC187" s="208"/>
      <c r="CD187" s="211"/>
    </row>
    <row r="188" ht="18" customHeight="1">
      <c r="A188" s="207"/>
      <c r="B188" s="208"/>
      <c r="C188" s="208"/>
      <c r="D188" s="208"/>
      <c r="E188" s="208"/>
      <c r="F188" s="208"/>
      <c r="G188" s="1194"/>
      <c r="H188" s="208"/>
      <c r="I188" s="208"/>
      <c r="J188" s="208"/>
      <c r="K188" s="208"/>
      <c r="L188" s="208"/>
      <c r="M188" s="208"/>
      <c r="N188" s="208"/>
      <c r="O188" s="208"/>
      <c r="P188" s="208"/>
      <c r="Q188" s="208"/>
      <c r="R188" s="208"/>
      <c r="S188" s="208"/>
      <c r="T188" s="208"/>
      <c r="U188" s="208"/>
      <c r="V188" s="208"/>
      <c r="W188" s="208"/>
      <c r="X188" s="208"/>
      <c r="Y188" s="208"/>
      <c r="Z188" s="208"/>
      <c r="AA188" s="208"/>
      <c r="AB188" s="208"/>
      <c r="AC188" s="208"/>
      <c r="AD188" s="208"/>
      <c r="AE188" s="208"/>
      <c r="AF188" s="208"/>
      <c r="AG188" s="208"/>
      <c r="AH188" s="208"/>
      <c r="AI188" s="208"/>
      <c r="AJ188" s="208"/>
      <c r="AK188" s="208"/>
      <c r="AL188" s="208"/>
      <c r="AM188" s="208"/>
      <c r="AN188" s="208"/>
      <c r="AO188" s="208"/>
      <c r="AP188" s="208"/>
      <c r="AQ188" s="208"/>
      <c r="AR188" s="208"/>
      <c r="AS188" s="208"/>
      <c r="AT188" s="208"/>
      <c r="AU188" s="208"/>
      <c r="AV188" s="208"/>
      <c r="AW188" s="208"/>
      <c r="AX188" s="208"/>
      <c r="AY188" s="208"/>
      <c r="AZ188" s="208"/>
      <c r="BA188" s="208"/>
      <c r="BB188" s="208"/>
      <c r="BC188" s="208"/>
      <c r="BD188" s="208"/>
      <c r="BE188" s="208"/>
      <c r="BF188" s="208"/>
      <c r="BG188" s="1184"/>
      <c r="BH188" s="1184"/>
      <c r="BI188" s="1184"/>
      <c r="BJ188" s="1184"/>
      <c r="BK188" s="1184"/>
      <c r="BL188" s="1184"/>
      <c r="BM188" s="1184"/>
      <c r="BN188" s="1184"/>
      <c r="BO188" s="1184"/>
      <c r="BP188" s="1184"/>
      <c r="BQ188" s="1184"/>
      <c r="BR188" s="1184"/>
      <c r="BS188" s="1184"/>
      <c r="BT188" s="1184"/>
      <c r="BU188" s="1184"/>
      <c r="BV188" s="1233">
        <f t="shared" si="2722"/>
        <v>0</v>
      </c>
      <c r="BW188" s="1233">
        <f t="shared" si="2722"/>
        <v>0</v>
      </c>
      <c r="BX188" s="1233">
        <f t="shared" si="2722"/>
        <v>0</v>
      </c>
      <c r="BY188" s="1233">
        <f t="shared" si="2722"/>
        <v>0</v>
      </c>
      <c r="BZ188" s="1233">
        <f t="shared" si="2722"/>
        <v>0</v>
      </c>
      <c r="CA188" s="208"/>
      <c r="CB188" s="208"/>
      <c r="CC188" s="208"/>
      <c r="CD188" s="211"/>
    </row>
    <row r="189" ht="18" customHeight="1">
      <c r="A189" s="207"/>
      <c r="B189" s="208"/>
      <c r="C189" s="208"/>
      <c r="D189" s="208"/>
      <c r="E189" s="208"/>
      <c r="F189" s="208"/>
      <c r="G189" s="1194"/>
      <c r="H189" s="208"/>
      <c r="I189" s="208"/>
      <c r="J189" s="208"/>
      <c r="K189" s="208"/>
      <c r="L189" s="208"/>
      <c r="M189" s="208"/>
      <c r="N189" s="208"/>
      <c r="O189" s="208"/>
      <c r="P189" s="208"/>
      <c r="Q189" s="208"/>
      <c r="R189" s="208"/>
      <c r="S189" s="208"/>
      <c r="T189" s="208"/>
      <c r="U189" s="208"/>
      <c r="V189" s="208"/>
      <c r="W189" s="208"/>
      <c r="X189" s="208"/>
      <c r="Y189" s="208"/>
      <c r="Z189" s="208"/>
      <c r="AA189" s="208"/>
      <c r="AB189" s="208"/>
      <c r="AC189" s="208"/>
      <c r="AD189" s="208"/>
      <c r="AE189" s="208"/>
      <c r="AF189" s="208"/>
      <c r="AG189" s="208"/>
      <c r="AH189" s="208"/>
      <c r="AI189" s="208"/>
      <c r="AJ189" s="208"/>
      <c r="AK189" s="208"/>
      <c r="AL189" s="208"/>
      <c r="AM189" s="208"/>
      <c r="AN189" s="208"/>
      <c r="AO189" s="208"/>
      <c r="AP189" s="208"/>
      <c r="AQ189" s="208"/>
      <c r="AR189" s="208"/>
      <c r="AS189" s="208"/>
      <c r="AT189" s="208"/>
      <c r="AU189" s="208"/>
      <c r="AV189" s="208"/>
      <c r="AW189" s="208"/>
      <c r="AX189" s="208"/>
      <c r="AY189" s="208"/>
      <c r="AZ189" s="208"/>
      <c r="BA189" s="208"/>
      <c r="BB189" s="208"/>
      <c r="BC189" s="208"/>
      <c r="BD189" s="208"/>
      <c r="BE189" s="208"/>
      <c r="BF189" s="208"/>
      <c r="BG189" s="1184"/>
      <c r="BH189" s="1184"/>
      <c r="BI189" s="1184"/>
      <c r="BJ189" s="1184"/>
      <c r="BK189" s="1184"/>
      <c r="BL189" s="1184"/>
      <c r="BM189" s="1184"/>
      <c r="BN189" s="1184"/>
      <c r="BO189" s="1184"/>
      <c r="BP189" s="1184"/>
      <c r="BQ189" s="1184"/>
      <c r="BR189" s="1184"/>
      <c r="BS189" s="1184"/>
      <c r="BT189" s="1184"/>
      <c r="BU189" s="1184"/>
      <c r="BV189" s="1184"/>
      <c r="BW189" s="1233">
        <f t="shared" si="2722"/>
        <v>0</v>
      </c>
      <c r="BX189" s="1233">
        <f t="shared" si="2722"/>
        <v>0</v>
      </c>
      <c r="BY189" s="1233">
        <f t="shared" si="2722"/>
        <v>0</v>
      </c>
      <c r="BZ189" s="1233">
        <f t="shared" si="2722"/>
        <v>0</v>
      </c>
      <c r="CA189" s="208"/>
      <c r="CB189" s="208"/>
      <c r="CC189" s="208"/>
      <c r="CD189" s="211"/>
    </row>
    <row r="190" ht="18" customHeight="1">
      <c r="A190" s="207"/>
      <c r="B190" s="208"/>
      <c r="C190" s="208"/>
      <c r="D190" s="208"/>
      <c r="E190" s="208"/>
      <c r="F190" s="208"/>
      <c r="G190" s="1194"/>
      <c r="H190" s="208"/>
      <c r="I190" s="208"/>
      <c r="J190" s="208"/>
      <c r="K190" s="208"/>
      <c r="L190" s="208"/>
      <c r="M190" s="208"/>
      <c r="N190" s="208"/>
      <c r="O190" s="208"/>
      <c r="P190" s="208"/>
      <c r="Q190" s="208"/>
      <c r="R190" s="208"/>
      <c r="S190" s="208"/>
      <c r="T190" s="208"/>
      <c r="U190" s="208"/>
      <c r="V190" s="208"/>
      <c r="W190" s="208"/>
      <c r="X190" s="208"/>
      <c r="Y190" s="208"/>
      <c r="Z190" s="208"/>
      <c r="AA190" s="208"/>
      <c r="AB190" s="208"/>
      <c r="AC190" s="208"/>
      <c r="AD190" s="208"/>
      <c r="AE190" s="208"/>
      <c r="AF190" s="208"/>
      <c r="AG190" s="208"/>
      <c r="AH190" s="208"/>
      <c r="AI190" s="208"/>
      <c r="AJ190" s="208"/>
      <c r="AK190" s="208"/>
      <c r="AL190" s="208"/>
      <c r="AM190" s="208"/>
      <c r="AN190" s="208"/>
      <c r="AO190" s="208"/>
      <c r="AP190" s="208"/>
      <c r="AQ190" s="208"/>
      <c r="AR190" s="208"/>
      <c r="AS190" s="208"/>
      <c r="AT190" s="208"/>
      <c r="AU190" s="208"/>
      <c r="AV190" s="208"/>
      <c r="AW190" s="208"/>
      <c r="AX190" s="208"/>
      <c r="AY190" s="208"/>
      <c r="AZ190" s="208"/>
      <c r="BA190" s="208"/>
      <c r="BB190" s="208"/>
      <c r="BC190" s="208"/>
      <c r="BD190" s="208"/>
      <c r="BE190" s="208"/>
      <c r="BF190" s="208"/>
      <c r="BG190" s="1184"/>
      <c r="BH190" s="1184"/>
      <c r="BI190" s="1184"/>
      <c r="BJ190" s="1184"/>
      <c r="BK190" s="1184"/>
      <c r="BL190" s="1184"/>
      <c r="BM190" s="1184"/>
      <c r="BN190" s="1184"/>
      <c r="BO190" s="1184"/>
      <c r="BP190" s="1184"/>
      <c r="BQ190" s="1184"/>
      <c r="BR190" s="1184"/>
      <c r="BS190" s="1184"/>
      <c r="BT190" s="1184"/>
      <c r="BU190" s="1184"/>
      <c r="BV190" s="1184"/>
      <c r="BW190" s="1184"/>
      <c r="BX190" s="1233">
        <f t="shared" si="2722"/>
        <v>0</v>
      </c>
      <c r="BY190" s="1233">
        <f t="shared" si="2722"/>
        <v>0</v>
      </c>
      <c r="BZ190" s="1233">
        <f t="shared" si="2722"/>
        <v>0</v>
      </c>
      <c r="CA190" s="208"/>
      <c r="CB190" s="208"/>
      <c r="CC190" s="208"/>
      <c r="CD190" s="211"/>
    </row>
    <row r="191" ht="18" customHeight="1">
      <c r="A191" s="207"/>
      <c r="B191" s="208"/>
      <c r="C191" s="208"/>
      <c r="D191" s="208"/>
      <c r="E191" s="208"/>
      <c r="F191" s="208"/>
      <c r="G191" s="1194"/>
      <c r="H191" s="208"/>
      <c r="I191" s="208"/>
      <c r="J191" s="208"/>
      <c r="K191" s="208"/>
      <c r="L191" s="208"/>
      <c r="M191" s="208"/>
      <c r="N191" s="208"/>
      <c r="O191" s="208"/>
      <c r="P191" s="208"/>
      <c r="Q191" s="208"/>
      <c r="R191" s="208"/>
      <c r="S191" s="208"/>
      <c r="T191" s="208"/>
      <c r="U191" s="208"/>
      <c r="V191" s="208"/>
      <c r="W191" s="208"/>
      <c r="X191" s="208"/>
      <c r="Y191" s="208"/>
      <c r="Z191" s="208"/>
      <c r="AA191" s="208"/>
      <c r="AB191" s="208"/>
      <c r="AC191" s="208"/>
      <c r="AD191" s="208"/>
      <c r="AE191" s="208"/>
      <c r="AF191" s="208"/>
      <c r="AG191" s="208"/>
      <c r="AH191" s="208"/>
      <c r="AI191" s="208"/>
      <c r="AJ191" s="208"/>
      <c r="AK191" s="208"/>
      <c r="AL191" s="208"/>
      <c r="AM191" s="208"/>
      <c r="AN191" s="208"/>
      <c r="AO191" s="208"/>
      <c r="AP191" s="208"/>
      <c r="AQ191" s="208"/>
      <c r="AR191" s="208"/>
      <c r="AS191" s="208"/>
      <c r="AT191" s="208"/>
      <c r="AU191" s="208"/>
      <c r="AV191" s="208"/>
      <c r="AW191" s="208"/>
      <c r="AX191" s="208"/>
      <c r="AY191" s="208"/>
      <c r="AZ191" s="208"/>
      <c r="BA191" s="208"/>
      <c r="BB191" s="208"/>
      <c r="BC191" s="208"/>
      <c r="BD191" s="208"/>
      <c r="BE191" s="208"/>
      <c r="BF191" s="208"/>
      <c r="BG191" s="1184"/>
      <c r="BH191" s="1184"/>
      <c r="BI191" s="1184"/>
      <c r="BJ191" s="1184"/>
      <c r="BK191" s="1184"/>
      <c r="BL191" s="1184"/>
      <c r="BM191" s="1184"/>
      <c r="BN191" s="1184"/>
      <c r="BO191" s="1184"/>
      <c r="BP191" s="1184"/>
      <c r="BQ191" s="1184"/>
      <c r="BR191" s="1184"/>
      <c r="BS191" s="1184"/>
      <c r="BT191" s="1184"/>
      <c r="BU191" s="1184"/>
      <c r="BV191" s="1184"/>
      <c r="BW191" s="1184"/>
      <c r="BX191" s="1184"/>
      <c r="BY191" s="1233">
        <f t="shared" si="2722"/>
        <v>0</v>
      </c>
      <c r="BZ191" s="1233">
        <f t="shared" si="2722"/>
        <v>0</v>
      </c>
      <c r="CA191" s="208"/>
      <c r="CB191" s="208"/>
      <c r="CC191" s="208"/>
      <c r="CD191" s="211"/>
    </row>
    <row r="192" ht="18" customHeight="1">
      <c r="A192" s="207"/>
      <c r="B192" s="208"/>
      <c r="C192" s="208"/>
      <c r="D192" s="208"/>
      <c r="E192" s="208"/>
      <c r="F192" s="208"/>
      <c r="G192" s="1194"/>
      <c r="H192" s="208"/>
      <c r="I192" s="208"/>
      <c r="J192" s="208"/>
      <c r="K192" s="208"/>
      <c r="L192" s="208"/>
      <c r="M192" s="208"/>
      <c r="N192" s="208"/>
      <c r="O192" s="208"/>
      <c r="P192" s="208"/>
      <c r="Q192" s="208"/>
      <c r="R192" s="208"/>
      <c r="S192" s="208"/>
      <c r="T192" s="208"/>
      <c r="U192" s="208"/>
      <c r="V192" s="208"/>
      <c r="W192" s="208"/>
      <c r="X192" s="208"/>
      <c r="Y192" s="208"/>
      <c r="Z192" s="208"/>
      <c r="AA192" s="208"/>
      <c r="AB192" s="208"/>
      <c r="AC192" s="208"/>
      <c r="AD192" s="208"/>
      <c r="AE192" s="208"/>
      <c r="AF192" s="208"/>
      <c r="AG192" s="208"/>
      <c r="AH192" s="208"/>
      <c r="AI192" s="208"/>
      <c r="AJ192" s="208"/>
      <c r="AK192" s="208"/>
      <c r="AL192" s="208"/>
      <c r="AM192" s="208"/>
      <c r="AN192" s="208"/>
      <c r="AO192" s="208"/>
      <c r="AP192" s="208"/>
      <c r="AQ192" s="208"/>
      <c r="AR192" s="208"/>
      <c r="AS192" s="208"/>
      <c r="AT192" s="208"/>
      <c r="AU192" s="208"/>
      <c r="AV192" s="208"/>
      <c r="AW192" s="208"/>
      <c r="AX192" s="208"/>
      <c r="AY192" s="208"/>
      <c r="AZ192" s="208"/>
      <c r="BA192" s="208"/>
      <c r="BB192" s="208"/>
      <c r="BC192" s="208"/>
      <c r="BD192" s="208"/>
      <c r="BE192" s="208"/>
      <c r="BF192" s="208"/>
      <c r="BG192" s="1184"/>
      <c r="BH192" s="1184"/>
      <c r="BI192" s="1184"/>
      <c r="BJ192" s="1184"/>
      <c r="BK192" s="1184"/>
      <c r="BL192" s="1184"/>
      <c r="BM192" s="1184"/>
      <c r="BN192" s="1184"/>
      <c r="BO192" s="1184"/>
      <c r="BP192" s="1184"/>
      <c r="BQ192" s="1184"/>
      <c r="BR192" s="1184"/>
      <c r="BS192" s="1184"/>
      <c r="BT192" s="1184"/>
      <c r="BU192" s="1184"/>
      <c r="BV192" s="1184"/>
      <c r="BW192" s="1184"/>
      <c r="BX192" s="1184"/>
      <c r="BY192" s="1184"/>
      <c r="BZ192" s="1233">
        <f t="shared" si="2722"/>
        <v>0</v>
      </c>
      <c r="CA192" s="208"/>
      <c r="CB192" s="208"/>
      <c r="CC192" s="208"/>
      <c r="CD192" s="211"/>
    </row>
    <row r="193" ht="18" customHeight="1">
      <c r="A193" s="830"/>
      <c r="B193" s="210"/>
      <c r="C193" s="210"/>
      <c r="D193" s="210"/>
      <c r="E193" s="210"/>
      <c r="F193" s="210"/>
      <c r="G193" s="1212"/>
      <c r="H193" s="210"/>
      <c r="I193" s="210"/>
      <c r="J193" s="210"/>
      <c r="K193" s="210"/>
      <c r="L193" s="210"/>
      <c r="M193" s="208"/>
      <c r="N193" s="208"/>
      <c r="O193" s="208"/>
      <c r="P193" s="208"/>
      <c r="Q193" s="208"/>
      <c r="R193" s="208"/>
      <c r="S193" s="208"/>
      <c r="T193" s="208"/>
      <c r="U193" s="208"/>
      <c r="V193" s="208"/>
      <c r="W193" s="208"/>
      <c r="X193" s="208"/>
      <c r="Y193" s="208"/>
      <c r="Z193" s="208"/>
      <c r="AA193" s="208"/>
      <c r="AB193" s="208"/>
      <c r="AC193" s="208"/>
      <c r="AD193" s="208"/>
      <c r="AE193" s="208"/>
      <c r="AF193" s="208"/>
      <c r="AG193" s="208"/>
      <c r="AH193" s="208"/>
      <c r="AI193" s="208"/>
      <c r="AJ193" s="208"/>
      <c r="AK193" s="208"/>
      <c r="AL193" s="208"/>
      <c r="AM193" s="208"/>
      <c r="AN193" s="208"/>
      <c r="AO193" s="208"/>
      <c r="AP193" s="208"/>
      <c r="AQ193" s="208"/>
      <c r="AR193" s="208"/>
      <c r="AS193" s="208"/>
      <c r="AT193" s="208"/>
      <c r="AU193" s="208"/>
      <c r="AV193" s="208"/>
      <c r="AW193" s="208"/>
      <c r="AX193" s="208"/>
      <c r="AY193" s="208"/>
      <c r="AZ193" s="208"/>
      <c r="BA193" s="208"/>
      <c r="BB193" s="208"/>
      <c r="BC193" s="208"/>
      <c r="BD193" s="208"/>
      <c r="BE193" s="208"/>
      <c r="BF193" s="208"/>
      <c r="BG193" s="1184"/>
      <c r="BH193" s="1184"/>
      <c r="BI193" s="1184"/>
      <c r="BJ193" s="1184"/>
      <c r="BK193" s="1184"/>
      <c r="BL193" s="1184"/>
      <c r="BM193" s="1184"/>
      <c r="BN193" s="1184"/>
      <c r="BO193" s="1184"/>
      <c r="BP193" s="1184"/>
      <c r="BQ193" s="1184"/>
      <c r="BR193" s="1184"/>
      <c r="BS193" s="1184"/>
      <c r="BT193" s="1184"/>
      <c r="BU193" s="1184"/>
      <c r="BV193" s="1184"/>
      <c r="BW193" s="1184"/>
      <c r="BX193" s="1184"/>
      <c r="BY193" s="1184"/>
      <c r="BZ193" s="208"/>
      <c r="CA193" s="208"/>
      <c r="CB193" s="208"/>
      <c r="CC193" s="208"/>
      <c r="CD193" s="211"/>
    </row>
    <row r="194" ht="18" customHeight="1">
      <c r="A194" s="1213"/>
      <c r="B194" s="1214"/>
      <c r="C194" s="1214"/>
      <c r="D194" s="1214"/>
      <c r="E194" s="1214"/>
      <c r="F194" s="1214"/>
      <c r="G194" s="1214"/>
      <c r="H194" s="1214"/>
      <c r="I194" s="1214"/>
      <c r="J194" s="1214"/>
      <c r="K194" s="1214"/>
      <c r="L194" s="1215"/>
      <c r="M194" s="1216"/>
      <c r="N194" s="1217"/>
      <c r="O194" s="1217"/>
      <c r="P194" s="1217"/>
      <c r="Q194" s="1217"/>
      <c r="R194" s="1217"/>
      <c r="S194" s="1217"/>
      <c r="T194" s="1217"/>
      <c r="U194" s="1217"/>
      <c r="V194" s="1217"/>
      <c r="W194" s="1217"/>
      <c r="X194" s="1217"/>
      <c r="Y194" s="1217"/>
      <c r="Z194" s="1217"/>
      <c r="AA194" s="1217"/>
      <c r="AB194" s="1217"/>
      <c r="AC194" s="1217"/>
      <c r="AD194" s="1217"/>
      <c r="AE194" s="1217"/>
      <c r="AF194" s="1217"/>
      <c r="AG194" s="1217"/>
      <c r="AH194" s="1217"/>
      <c r="AI194" s="1217"/>
      <c r="AJ194" s="1217"/>
      <c r="AK194" s="1217"/>
      <c r="AL194" s="1217"/>
      <c r="AM194" s="1217"/>
      <c r="AN194" s="1217"/>
      <c r="AO194" s="1217"/>
      <c r="AP194" s="1217"/>
      <c r="AQ194" s="1217"/>
      <c r="AR194" s="1217"/>
      <c r="AS194" s="1217"/>
      <c r="AT194" s="708"/>
      <c r="AU194" s="708"/>
      <c r="AV194" s="708"/>
      <c r="AW194" s="708"/>
      <c r="AX194" s="708"/>
      <c r="AY194" s="708"/>
      <c r="AZ194" s="708"/>
      <c r="BA194" s="208"/>
      <c r="BB194" s="208"/>
      <c r="BC194" s="208"/>
      <c r="BD194" s="208"/>
      <c r="BE194" s="208"/>
      <c r="BF194" s="208"/>
      <c r="BG194" s="1184"/>
      <c r="BH194" s="1184"/>
      <c r="BI194" s="1184"/>
      <c r="BJ194" s="1184"/>
      <c r="BK194" s="1184"/>
      <c r="BL194" s="1184"/>
      <c r="BM194" s="1184"/>
      <c r="BN194" s="1184"/>
      <c r="BO194" s="1184"/>
      <c r="BP194" s="1184"/>
      <c r="BQ194" s="1184"/>
      <c r="BR194" s="1184"/>
      <c r="BS194" s="1184"/>
      <c r="BT194" s="1184"/>
      <c r="BU194" s="1184"/>
      <c r="BV194" s="1184"/>
      <c r="BW194" s="1184"/>
      <c r="BX194" s="1184"/>
      <c r="BY194" s="1184"/>
      <c r="BZ194" s="208"/>
      <c r="CA194" s="208"/>
      <c r="CB194" s="208"/>
      <c r="CC194" s="208"/>
      <c r="CD194" s="211"/>
    </row>
    <row r="195" ht="18" customHeight="1">
      <c r="A195" s="1216"/>
      <c r="B195" t="s" s="1218">
        <v>1112</v>
      </c>
      <c r="C195" s="1219"/>
      <c r="D195" s="1219"/>
      <c r="E195" s="1217"/>
      <c r="F195" s="1217"/>
      <c r="G195" s="1217"/>
      <c r="H195" s="1217"/>
      <c r="I195" s="1217"/>
      <c r="J195" s="1217"/>
      <c r="K195" s="1217"/>
      <c r="L195" s="1220"/>
      <c r="M195" s="1216"/>
      <c r="N195" s="1217"/>
      <c r="O195" s="1217"/>
      <c r="P195" s="1217"/>
      <c r="Q195" s="1217"/>
      <c r="R195" s="1217"/>
      <c r="S195" s="1217"/>
      <c r="T195" s="1217"/>
      <c r="U195" s="1217"/>
      <c r="V195" s="1217"/>
      <c r="W195" s="1217"/>
      <c r="X195" s="1217"/>
      <c r="Y195" s="1217"/>
      <c r="Z195" s="1217"/>
      <c r="AA195" s="1217"/>
      <c r="AB195" s="1217"/>
      <c r="AC195" s="1217"/>
      <c r="AD195" s="1217"/>
      <c r="AE195" s="1217"/>
      <c r="AF195" s="1217"/>
      <c r="AG195" s="1217"/>
      <c r="AH195" s="1217"/>
      <c r="AI195" s="1217"/>
      <c r="AJ195" s="1217"/>
      <c r="AK195" s="1217"/>
      <c r="AL195" s="1217"/>
      <c r="AM195" s="1217"/>
      <c r="AN195" s="1217"/>
      <c r="AO195" s="1217"/>
      <c r="AP195" s="1217"/>
      <c r="AQ195" s="1217"/>
      <c r="AR195" s="1217"/>
      <c r="AS195" s="1217"/>
      <c r="AT195" s="708"/>
      <c r="AU195" s="708"/>
      <c r="AV195" s="708"/>
      <c r="AW195" s="708"/>
      <c r="AX195" s="708"/>
      <c r="AY195" s="708"/>
      <c r="AZ195" s="708"/>
      <c r="BA195" s="208"/>
      <c r="BB195" s="208"/>
      <c r="BC195" s="208"/>
      <c r="BD195" s="208"/>
      <c r="BE195" s="208"/>
      <c r="BF195" s="208"/>
      <c r="BG195" s="1184"/>
      <c r="BH195" s="1184"/>
      <c r="BI195" s="1184"/>
      <c r="BJ195" s="1184"/>
      <c r="BK195" s="1184"/>
      <c r="BL195" s="1184"/>
      <c r="BM195" s="1184"/>
      <c r="BN195" s="1184"/>
      <c r="BO195" s="1184"/>
      <c r="BP195" s="1184"/>
      <c r="BQ195" s="1184"/>
      <c r="BR195" s="1184"/>
      <c r="BS195" s="1184"/>
      <c r="BT195" s="1184"/>
      <c r="BU195" s="1184"/>
      <c r="BV195" s="1184"/>
      <c r="BW195" s="1184"/>
      <c r="BX195" s="1184"/>
      <c r="BY195" s="1184"/>
      <c r="BZ195" s="208"/>
      <c r="CA195" s="208"/>
      <c r="CB195" s="208"/>
      <c r="CC195" s="208"/>
      <c r="CD195" s="211"/>
    </row>
    <row r="196" ht="18" customHeight="1">
      <c r="A196" s="1216"/>
      <c r="B196" s="1217"/>
      <c r="C196" s="1217"/>
      <c r="D196" s="1217"/>
      <c r="E196" s="1217"/>
      <c r="F196" s="1217"/>
      <c r="G196" s="1217"/>
      <c r="H196" s="1217"/>
      <c r="I196" s="1217"/>
      <c r="J196" s="1217"/>
      <c r="K196" s="1217"/>
      <c r="L196" s="1220"/>
      <c r="M196" s="1216"/>
      <c r="N196" s="1217"/>
      <c r="O196" s="1217"/>
      <c r="P196" s="1217"/>
      <c r="Q196" s="1217"/>
      <c r="R196" s="1217"/>
      <c r="S196" s="1217"/>
      <c r="T196" s="1217"/>
      <c r="U196" s="1217"/>
      <c r="V196" s="1217"/>
      <c r="W196" s="1217"/>
      <c r="X196" s="1217"/>
      <c r="Y196" s="1217"/>
      <c r="Z196" s="1217"/>
      <c r="AA196" s="1217"/>
      <c r="AB196" s="1217"/>
      <c r="AC196" s="1217"/>
      <c r="AD196" s="1217"/>
      <c r="AE196" s="1217"/>
      <c r="AF196" s="1217"/>
      <c r="AG196" s="1217"/>
      <c r="AH196" s="1217"/>
      <c r="AI196" s="1217"/>
      <c r="AJ196" s="1217"/>
      <c r="AK196" s="1217"/>
      <c r="AL196" s="1217"/>
      <c r="AM196" s="1217"/>
      <c r="AN196" s="1217"/>
      <c r="AO196" s="1217"/>
      <c r="AP196" s="1217"/>
      <c r="AQ196" s="1217"/>
      <c r="AR196" s="1217"/>
      <c r="AS196" s="1217"/>
      <c r="AT196" s="708"/>
      <c r="AU196" s="708"/>
      <c r="AV196" s="708"/>
      <c r="AW196" s="708"/>
      <c r="AX196" s="708"/>
      <c r="AY196" s="708"/>
      <c r="AZ196" s="708"/>
      <c r="BA196" s="208"/>
      <c r="BB196" s="208"/>
      <c r="BC196" s="208"/>
      <c r="BD196" s="208"/>
      <c r="BE196" s="208"/>
      <c r="BF196" s="208"/>
      <c r="BG196" s="1184"/>
      <c r="BH196" s="1184"/>
      <c r="BI196" s="1184"/>
      <c r="BJ196" s="1184"/>
      <c r="BK196" s="1184"/>
      <c r="BL196" s="1184"/>
      <c r="BM196" s="1184"/>
      <c r="BN196" s="1184"/>
      <c r="BO196" s="1184"/>
      <c r="BP196" s="1184"/>
      <c r="BQ196" s="1184"/>
      <c r="BR196" s="1184"/>
      <c r="BS196" s="1184"/>
      <c r="BT196" s="1184"/>
      <c r="BU196" s="1184"/>
      <c r="BV196" s="1184"/>
      <c r="BW196" s="1184"/>
      <c r="BX196" s="1184"/>
      <c r="BY196" s="1184"/>
      <c r="BZ196" s="208"/>
      <c r="CA196" s="208"/>
      <c r="CB196" s="208"/>
      <c r="CC196" s="208"/>
      <c r="CD196" s="211"/>
    </row>
    <row r="197" ht="18" customHeight="1">
      <c r="A197" s="1216"/>
      <c r="B197" s="1217"/>
      <c r="C197" s="1217"/>
      <c r="D197" s="1217"/>
      <c r="E197" s="1217"/>
      <c r="F197" s="1217"/>
      <c r="G197" s="1217"/>
      <c r="H197" s="1217"/>
      <c r="I197" s="1217"/>
      <c r="J197" s="1217"/>
      <c r="K197" s="1217"/>
      <c r="L197" s="1220"/>
      <c r="M197" s="1216"/>
      <c r="N197" s="1217"/>
      <c r="O197" s="1217"/>
      <c r="P197" s="1217"/>
      <c r="Q197" s="1217"/>
      <c r="R197" s="1217"/>
      <c r="S197" s="1217"/>
      <c r="T197" s="1217"/>
      <c r="U197" s="1217"/>
      <c r="V197" s="1217"/>
      <c r="W197" s="1217"/>
      <c r="X197" s="1217"/>
      <c r="Y197" s="1217"/>
      <c r="Z197" s="1217"/>
      <c r="AA197" s="1217"/>
      <c r="AB197" s="1217"/>
      <c r="AC197" s="1217"/>
      <c r="AD197" s="1217"/>
      <c r="AE197" s="1217"/>
      <c r="AF197" s="1217"/>
      <c r="AG197" s="1217"/>
      <c r="AH197" s="1217"/>
      <c r="AI197" s="1217"/>
      <c r="AJ197" s="1217"/>
      <c r="AK197" s="1217"/>
      <c r="AL197" s="1217"/>
      <c r="AM197" s="1217"/>
      <c r="AN197" s="1217"/>
      <c r="AO197" s="1217"/>
      <c r="AP197" s="1217"/>
      <c r="AQ197" s="1217"/>
      <c r="AR197" s="1217"/>
      <c r="AS197" s="1217"/>
      <c r="AT197" s="708"/>
      <c r="AU197" s="708"/>
      <c r="AV197" s="708"/>
      <c r="AW197" s="708"/>
      <c r="AX197" s="708"/>
      <c r="AY197" s="708"/>
      <c r="AZ197" s="708"/>
      <c r="BA197" s="208"/>
      <c r="BB197" s="208"/>
      <c r="BC197" s="208"/>
      <c r="BD197" s="208"/>
      <c r="BE197" s="208"/>
      <c r="BF197" s="208"/>
      <c r="BG197" s="1184"/>
      <c r="BH197" s="1184"/>
      <c r="BI197" s="1184"/>
      <c r="BJ197" s="1184"/>
      <c r="BK197" s="1184"/>
      <c r="BL197" s="1184"/>
      <c r="BM197" s="1184"/>
      <c r="BN197" s="1184"/>
      <c r="BO197" s="1184"/>
      <c r="BP197" s="1184"/>
      <c r="BQ197" s="1184"/>
      <c r="BR197" s="1184"/>
      <c r="BS197" s="1184"/>
      <c r="BT197" s="1184"/>
      <c r="BU197" s="1184"/>
      <c r="BV197" s="1184"/>
      <c r="BW197" s="1184"/>
      <c r="BX197" s="1184"/>
      <c r="BY197" s="1184"/>
      <c r="BZ197" s="208"/>
      <c r="CA197" s="208"/>
      <c r="CB197" s="208"/>
      <c r="CC197" s="208"/>
      <c r="CD197" s="211"/>
    </row>
    <row r="198" ht="18" customHeight="1">
      <c r="A198" s="1216"/>
      <c r="B198" t="s" s="1221">
        <v>1113</v>
      </c>
      <c r="C198" s="1217"/>
      <c r="D198" s="1217"/>
      <c r="E198" s="1217"/>
      <c r="F198" s="1222">
        <f>IF('Project Information'!C13="New Build OTS &amp; WO",C5,0)</f>
        <v>0</v>
      </c>
      <c r="G198" s="1217"/>
      <c r="H198" s="1223"/>
      <c r="I198" s="1223"/>
      <c r="J198" t="s" s="1230">
        <v>695</v>
      </c>
      <c r="K198" s="1224">
        <f>C150</f>
        <v>0</v>
      </c>
      <c r="L198" s="1220"/>
      <c r="M198" s="1216"/>
      <c r="N198" s="1217"/>
      <c r="O198" s="1217"/>
      <c r="P198" s="1217"/>
      <c r="Q198" s="1217"/>
      <c r="R198" s="1217"/>
      <c r="S198" s="1217"/>
      <c r="T198" s="1217"/>
      <c r="U198" s="1217"/>
      <c r="V198" s="1217"/>
      <c r="W198" s="1217"/>
      <c r="X198" s="1217"/>
      <c r="Y198" s="1217"/>
      <c r="Z198" s="1217"/>
      <c r="AA198" s="1217"/>
      <c r="AB198" s="1217"/>
      <c r="AC198" s="1217"/>
      <c r="AD198" s="1217"/>
      <c r="AE198" s="1217"/>
      <c r="AF198" s="1217"/>
      <c r="AG198" s="1217"/>
      <c r="AH198" s="1217"/>
      <c r="AI198" s="1217"/>
      <c r="AJ198" s="1217"/>
      <c r="AK198" s="1217"/>
      <c r="AL198" s="1217"/>
      <c r="AM198" s="1217"/>
      <c r="AN198" s="1217"/>
      <c r="AO198" s="1217"/>
      <c r="AP198" s="1217"/>
      <c r="AQ198" s="1217"/>
      <c r="AR198" s="1217"/>
      <c r="AS198" s="1217"/>
      <c r="AT198" s="708"/>
      <c r="AU198" s="708"/>
      <c r="AV198" s="708"/>
      <c r="AW198" s="708"/>
      <c r="AX198" s="708"/>
      <c r="AY198" s="708"/>
      <c r="AZ198" s="708"/>
      <c r="BA198" s="208"/>
      <c r="BB198" s="208"/>
      <c r="BC198" s="208"/>
      <c r="BD198" s="208"/>
      <c r="BE198" s="208"/>
      <c r="BF198" s="208"/>
      <c r="BG198" s="1184"/>
      <c r="BH198" s="1184"/>
      <c r="BI198" s="1184"/>
      <c r="BJ198" s="1184"/>
      <c r="BK198" s="1184"/>
      <c r="BL198" s="1184"/>
      <c r="BM198" s="1184"/>
      <c r="BN198" s="1184"/>
      <c r="BO198" s="1184"/>
      <c r="BP198" s="1184"/>
      <c r="BQ198" s="1184"/>
      <c r="BR198" s="1184"/>
      <c r="BS198" s="1184"/>
      <c r="BT198" s="1184"/>
      <c r="BU198" s="1184"/>
      <c r="BV198" s="1184"/>
      <c r="BW198" s="1184"/>
      <c r="BX198" s="1184"/>
      <c r="BY198" s="1184"/>
      <c r="BZ198" s="208"/>
      <c r="CA198" s="208"/>
      <c r="CB198" s="208"/>
      <c r="CC198" s="208"/>
      <c r="CD198" s="211"/>
    </row>
    <row r="199" ht="18" customHeight="1">
      <c r="A199" s="1216"/>
      <c r="B199" t="s" s="1221">
        <v>1114</v>
      </c>
      <c r="C199" s="1217"/>
      <c r="D199" s="1217"/>
      <c r="E199" s="1220"/>
      <c r="F199" s="1225">
        <f>'Project Information'!C33/4.3333333</f>
        <v>12.00000009230769</v>
      </c>
      <c r="G199" s="1216"/>
      <c r="H199" s="1217"/>
      <c r="I199" s="1217"/>
      <c r="J199" s="1217"/>
      <c r="K199" s="1217"/>
      <c r="L199" s="1220"/>
      <c r="M199" s="1216"/>
      <c r="N199" s="1217"/>
      <c r="O199" s="1217"/>
      <c r="P199" s="1217"/>
      <c r="Q199" s="1217"/>
      <c r="R199" s="1217"/>
      <c r="S199" s="1217"/>
      <c r="T199" s="1217"/>
      <c r="U199" s="1217"/>
      <c r="V199" s="1217"/>
      <c r="W199" s="1217"/>
      <c r="X199" s="1217"/>
      <c r="Y199" s="1217"/>
      <c r="Z199" s="1217"/>
      <c r="AA199" s="1217"/>
      <c r="AB199" s="1217"/>
      <c r="AC199" s="1217"/>
      <c r="AD199" s="1217"/>
      <c r="AE199" s="1217"/>
      <c r="AF199" s="1217"/>
      <c r="AG199" s="1217"/>
      <c r="AH199" s="1217"/>
      <c r="AI199" s="1217"/>
      <c r="AJ199" s="1217"/>
      <c r="AK199" s="1217"/>
      <c r="AL199" s="1217"/>
      <c r="AM199" s="1217"/>
      <c r="AN199" s="1217"/>
      <c r="AO199" s="1217"/>
      <c r="AP199" s="1217"/>
      <c r="AQ199" s="1217"/>
      <c r="AR199" s="1217"/>
      <c r="AS199" s="1217"/>
      <c r="AT199" s="708"/>
      <c r="AU199" s="708"/>
      <c r="AV199" s="708"/>
      <c r="AW199" s="708"/>
      <c r="AX199" s="708"/>
      <c r="AY199" s="708"/>
      <c r="AZ199" s="708"/>
      <c r="BA199" s="208"/>
      <c r="BB199" s="208"/>
      <c r="BC199" s="208"/>
      <c r="BD199" s="208"/>
      <c r="BE199" s="208"/>
      <c r="BF199" s="208"/>
      <c r="BG199" s="1184"/>
      <c r="BH199" s="1184"/>
      <c r="BI199" s="1184"/>
      <c r="BJ199" s="1184"/>
      <c r="BK199" s="1184"/>
      <c r="BL199" s="1184"/>
      <c r="BM199" s="1184"/>
      <c r="BN199" s="1184"/>
      <c r="BO199" s="1184"/>
      <c r="BP199" s="1184"/>
      <c r="BQ199" s="1184"/>
      <c r="BR199" s="1184"/>
      <c r="BS199" s="1184"/>
      <c r="BT199" s="1184"/>
      <c r="BU199" s="1184"/>
      <c r="BV199" s="1184"/>
      <c r="BW199" s="1184"/>
      <c r="BX199" s="1184"/>
      <c r="BY199" s="1184"/>
      <c r="BZ199" s="208"/>
      <c r="CA199" s="208"/>
      <c r="CB199" s="208"/>
      <c r="CC199" s="208"/>
      <c r="CD199" s="211"/>
    </row>
    <row r="200" ht="18" customHeight="1">
      <c r="A200" s="1216"/>
      <c r="B200" t="s" s="1221">
        <v>1115</v>
      </c>
      <c r="C200" s="1217"/>
      <c r="D200" s="1217"/>
      <c r="E200" s="1220"/>
      <c r="F200" s="1226">
        <f>MONTH((DATE(1899,12,31)+(0*7+IF('Project Information'!C27&gt;60,'Project Information'!C27-1,'Project Information'!C27))))</f>
      </c>
      <c r="G200" s="1216"/>
      <c r="H200" s="1217"/>
      <c r="I200" s="1217"/>
      <c r="J200" s="1217"/>
      <c r="K200" s="1217"/>
      <c r="L200" s="1220"/>
      <c r="M200" s="1216"/>
      <c r="N200" s="1217"/>
      <c r="O200" s="1217"/>
      <c r="P200" s="1217"/>
      <c r="Q200" s="1217"/>
      <c r="R200" s="1217"/>
      <c r="S200" s="1217"/>
      <c r="T200" s="1217"/>
      <c r="U200" s="1217"/>
      <c r="V200" s="1217"/>
      <c r="W200" s="1217"/>
      <c r="X200" s="1217"/>
      <c r="Y200" s="1217"/>
      <c r="Z200" s="1217"/>
      <c r="AA200" s="1217"/>
      <c r="AB200" s="1217"/>
      <c r="AC200" s="1217"/>
      <c r="AD200" s="1217"/>
      <c r="AE200" s="1217"/>
      <c r="AF200" s="1217"/>
      <c r="AG200" s="1217"/>
      <c r="AH200" s="1217"/>
      <c r="AI200" s="1217"/>
      <c r="AJ200" s="1217"/>
      <c r="AK200" s="1217"/>
      <c r="AL200" s="1217"/>
      <c r="AM200" s="1217"/>
      <c r="AN200" s="1217"/>
      <c r="AO200" s="1217"/>
      <c r="AP200" s="1217"/>
      <c r="AQ200" s="1217"/>
      <c r="AR200" s="1217"/>
      <c r="AS200" s="1217"/>
      <c r="AT200" s="708"/>
      <c r="AU200" s="708"/>
      <c r="AV200" s="708"/>
      <c r="AW200" s="708"/>
      <c r="AX200" s="708"/>
      <c r="AY200" s="708"/>
      <c r="AZ200" s="708"/>
      <c r="BA200" s="208"/>
      <c r="BB200" s="208"/>
      <c r="BC200" s="208"/>
      <c r="BD200" s="208"/>
      <c r="BE200" s="208"/>
      <c r="BF200" s="208"/>
      <c r="BG200" s="1184"/>
      <c r="BH200" s="1184"/>
      <c r="BI200" s="1184"/>
      <c r="BJ200" s="1184"/>
      <c r="BK200" s="1184"/>
      <c r="BL200" s="1184"/>
      <c r="BM200" s="1184"/>
      <c r="BN200" s="1184"/>
      <c r="BO200" s="1184"/>
      <c r="BP200" s="1184"/>
      <c r="BQ200" s="1184"/>
      <c r="BR200" s="1184"/>
      <c r="BS200" s="1184"/>
      <c r="BT200" s="1184"/>
      <c r="BU200" s="1184"/>
      <c r="BV200" s="1184"/>
      <c r="BW200" s="1184"/>
      <c r="BX200" s="1184"/>
      <c r="BY200" s="1184"/>
      <c r="BZ200" s="208"/>
      <c r="CA200" s="208"/>
      <c r="CB200" s="208"/>
      <c r="CC200" s="208"/>
      <c r="CD200" s="211"/>
    </row>
    <row r="201" ht="18" customHeight="1">
      <c r="A201" s="1216"/>
      <c r="B201" s="1217"/>
      <c r="C201" s="1217"/>
      <c r="D201" s="1217"/>
      <c r="E201" s="1217"/>
      <c r="F201" s="1214"/>
      <c r="G201" s="1217"/>
      <c r="H201" s="1217"/>
      <c r="I201" s="1217"/>
      <c r="J201" s="1217"/>
      <c r="K201" s="1217"/>
      <c r="L201" s="1220"/>
      <c r="M201" s="1216"/>
      <c r="N201" s="1217"/>
      <c r="O201" s="1217"/>
      <c r="P201" s="1217"/>
      <c r="Q201" s="1217"/>
      <c r="R201" s="1217"/>
      <c r="S201" s="1217"/>
      <c r="T201" s="1217"/>
      <c r="U201" s="1217"/>
      <c r="V201" s="1217"/>
      <c r="W201" s="1217"/>
      <c r="X201" s="1217"/>
      <c r="Y201" s="1217"/>
      <c r="Z201" s="1217"/>
      <c r="AA201" s="1217"/>
      <c r="AB201" s="1217"/>
      <c r="AC201" s="1217"/>
      <c r="AD201" s="1217"/>
      <c r="AE201" s="1217"/>
      <c r="AF201" s="1217"/>
      <c r="AG201" s="1217"/>
      <c r="AH201" s="1217"/>
      <c r="AI201" s="1217"/>
      <c r="AJ201" s="1217"/>
      <c r="AK201" s="1217"/>
      <c r="AL201" s="1217"/>
      <c r="AM201" s="1217"/>
      <c r="AN201" s="1217"/>
      <c r="AO201" s="1217"/>
      <c r="AP201" s="1217"/>
      <c r="AQ201" s="1217"/>
      <c r="AR201" s="1217"/>
      <c r="AS201" s="1217"/>
      <c r="AT201" s="708"/>
      <c r="AU201" s="708"/>
      <c r="AV201" s="708"/>
      <c r="AW201" s="708"/>
      <c r="AX201" s="708"/>
      <c r="AY201" s="708"/>
      <c r="AZ201" s="708"/>
      <c r="BA201" s="208"/>
      <c r="BB201" s="208"/>
      <c r="BC201" s="208"/>
      <c r="BD201" s="208"/>
      <c r="BE201" s="208"/>
      <c r="BF201" s="208"/>
      <c r="BG201" s="1184"/>
      <c r="BH201" s="1184"/>
      <c r="BI201" s="1184"/>
      <c r="BJ201" s="1184"/>
      <c r="BK201" s="1184"/>
      <c r="BL201" s="1184"/>
      <c r="BM201" s="1184"/>
      <c r="BN201" s="1184"/>
      <c r="BO201" s="1184"/>
      <c r="BP201" s="1184"/>
      <c r="BQ201" s="1184"/>
      <c r="BR201" s="1184"/>
      <c r="BS201" s="1184"/>
      <c r="BT201" s="1184"/>
      <c r="BU201" s="1184"/>
      <c r="BV201" s="1184"/>
      <c r="BW201" s="1184"/>
      <c r="BX201" s="1184"/>
      <c r="BY201" s="1184"/>
      <c r="BZ201" s="208"/>
      <c r="CA201" s="208"/>
      <c r="CB201" s="208"/>
      <c r="CC201" s="208"/>
      <c r="CD201" s="211"/>
    </row>
    <row r="202" ht="18" customHeight="1">
      <c r="A202" t="s" s="1227">
        <v>1116</v>
      </c>
      <c r="B202" s="1217"/>
      <c r="C202" s="1217"/>
      <c r="D202" s="1217"/>
      <c r="E202" s="1217"/>
      <c r="F202" t="s" s="1228">
        <v>1117</v>
      </c>
      <c r="G202" s="1217"/>
      <c r="H202" s="1217"/>
      <c r="I202" s="1217"/>
      <c r="J202" s="1217"/>
      <c r="K202" t="s" s="1228">
        <v>695</v>
      </c>
      <c r="L202" s="1220"/>
      <c r="M202" s="1216"/>
      <c r="N202" s="1217"/>
      <c r="O202" s="1217"/>
      <c r="P202" s="1217"/>
      <c r="Q202" s="1217"/>
      <c r="R202" s="1217"/>
      <c r="S202" s="1217"/>
      <c r="T202" s="1217"/>
      <c r="U202" s="1217"/>
      <c r="V202" s="1217"/>
      <c r="W202" s="1217"/>
      <c r="X202" s="1217"/>
      <c r="Y202" s="1217"/>
      <c r="Z202" s="1217"/>
      <c r="AA202" s="1217"/>
      <c r="AB202" s="1217"/>
      <c r="AC202" s="1217"/>
      <c r="AD202" s="1217"/>
      <c r="AE202" s="1217"/>
      <c r="AF202" s="1217"/>
      <c r="AG202" s="1217"/>
      <c r="AH202" s="1217"/>
      <c r="AI202" s="1217"/>
      <c r="AJ202" s="1217"/>
      <c r="AK202" s="1217"/>
      <c r="AL202" s="1217"/>
      <c r="AM202" s="1217"/>
      <c r="AN202" s="1217"/>
      <c r="AO202" s="1217"/>
      <c r="AP202" s="1217"/>
      <c r="AQ202" s="1217"/>
      <c r="AR202" s="1217"/>
      <c r="AS202" s="1217"/>
      <c r="AT202" s="708"/>
      <c r="AU202" s="708"/>
      <c r="AV202" s="708"/>
      <c r="AW202" s="708"/>
      <c r="AX202" s="708"/>
      <c r="AY202" s="708"/>
      <c r="AZ202" s="708"/>
      <c r="BA202" s="208"/>
      <c r="BB202" s="208"/>
      <c r="BC202" s="208"/>
      <c r="BD202" s="208"/>
      <c r="BE202" s="208"/>
      <c r="BF202" s="208"/>
      <c r="BG202" s="1184"/>
      <c r="BH202" s="1184"/>
      <c r="BI202" s="1184"/>
      <c r="BJ202" s="1184"/>
      <c r="BK202" s="1184"/>
      <c r="BL202" s="1184"/>
      <c r="BM202" s="1184"/>
      <c r="BN202" s="1184"/>
      <c r="BO202" s="1184"/>
      <c r="BP202" s="1184"/>
      <c r="BQ202" s="1184"/>
      <c r="BR202" s="1184"/>
      <c r="BS202" s="1184"/>
      <c r="BT202" s="1184"/>
      <c r="BU202" s="1184"/>
      <c r="BV202" s="1184"/>
      <c r="BW202" s="1184"/>
      <c r="BX202" s="1184"/>
      <c r="BY202" s="1184"/>
      <c r="BZ202" s="208"/>
      <c r="CA202" s="208"/>
      <c r="CB202" s="208"/>
      <c r="CC202" s="208"/>
      <c r="CD202" s="211"/>
    </row>
    <row r="203" ht="18" customHeight="1">
      <c r="A203" s="1216"/>
      <c r="B203" t="s" s="1230">
        <v>923</v>
      </c>
      <c r="C203" s="1223"/>
      <c r="D203" s="1223"/>
      <c r="E203" s="1217"/>
      <c r="F203" t="s" s="1230">
        <v>622</v>
      </c>
      <c r="G203" s="1217"/>
      <c r="H203" s="1217"/>
      <c r="I203" s="1217"/>
      <c r="J203" s="1217"/>
      <c r="K203" t="s" s="1230">
        <v>622</v>
      </c>
      <c r="L203" s="1220"/>
      <c r="M203" s="1216"/>
      <c r="N203" s="1217"/>
      <c r="O203" s="1217"/>
      <c r="P203" s="1217"/>
      <c r="Q203" s="1217"/>
      <c r="R203" s="1217"/>
      <c r="S203" s="1217"/>
      <c r="T203" s="1217"/>
      <c r="U203" s="1217"/>
      <c r="V203" s="1217"/>
      <c r="W203" s="1217"/>
      <c r="X203" s="1217"/>
      <c r="Y203" s="1217"/>
      <c r="Z203" s="1217"/>
      <c r="AA203" s="1217"/>
      <c r="AB203" s="1217"/>
      <c r="AC203" s="1217"/>
      <c r="AD203" s="1217"/>
      <c r="AE203" s="1217"/>
      <c r="AF203" s="1217"/>
      <c r="AG203" s="1217"/>
      <c r="AH203" s="1217"/>
      <c r="AI203" s="1217"/>
      <c r="AJ203" s="1217"/>
      <c r="AK203" s="1217"/>
      <c r="AL203" s="1217"/>
      <c r="AM203" s="1217"/>
      <c r="AN203" s="1217"/>
      <c r="AO203" s="1217"/>
      <c r="AP203" s="1217"/>
      <c r="AQ203" s="1217"/>
      <c r="AR203" s="1217"/>
      <c r="AS203" s="1217"/>
      <c r="AT203" s="708"/>
      <c r="AU203" s="708"/>
      <c r="AV203" s="708"/>
      <c r="AW203" s="708"/>
      <c r="AX203" s="708"/>
      <c r="AY203" s="708"/>
      <c r="AZ203" s="708"/>
      <c r="BA203" s="208"/>
      <c r="BB203" s="208"/>
      <c r="BC203" s="208"/>
      <c r="BD203" s="208"/>
      <c r="BE203" s="208"/>
      <c r="BF203" s="208"/>
      <c r="BG203" s="1184"/>
      <c r="BH203" s="1184"/>
      <c r="BI203" s="1184"/>
      <c r="BJ203" s="1184"/>
      <c r="BK203" s="1184"/>
      <c r="BL203" s="1184"/>
      <c r="BM203" s="1184"/>
      <c r="BN203" s="1184"/>
      <c r="BO203" s="1184"/>
      <c r="BP203" s="1184"/>
      <c r="BQ203" s="1184"/>
      <c r="BR203" s="1184"/>
      <c r="BS203" s="1184"/>
      <c r="BT203" s="1184"/>
      <c r="BU203" s="1184"/>
      <c r="BV203" s="1184"/>
      <c r="BW203" s="1184"/>
      <c r="BX203" s="1184"/>
      <c r="BY203" s="1184"/>
      <c r="BZ203" s="208"/>
      <c r="CA203" s="208"/>
      <c r="CB203" s="208"/>
      <c r="CC203" s="208"/>
      <c r="CD203" s="211"/>
    </row>
    <row r="204" ht="18" customHeight="1">
      <c r="A204" s="1231"/>
      <c r="B204" s="1217"/>
      <c r="C204" s="1217"/>
      <c r="D204" s="1217"/>
      <c r="E204" s="1217"/>
      <c r="F204" s="1217"/>
      <c r="G204" s="1217"/>
      <c r="H204" s="1217"/>
      <c r="I204" s="1217"/>
      <c r="J204" s="1217"/>
      <c r="K204" s="1217"/>
      <c r="L204" s="1220"/>
      <c r="M204" s="1232">
        <v>0</v>
      </c>
      <c r="N204" s="1221">
        <v>1</v>
      </c>
      <c r="O204" s="1221">
        <v>2</v>
      </c>
      <c r="P204" s="1221">
        <v>3</v>
      </c>
      <c r="Q204" s="1233">
        <v>4</v>
      </c>
      <c r="R204" s="1233">
        <v>5</v>
      </c>
      <c r="S204" s="1233">
        <v>6</v>
      </c>
      <c r="T204" s="1233">
        <v>7</v>
      </c>
      <c r="U204" s="1233">
        <v>8</v>
      </c>
      <c r="V204" s="1233">
        <v>9</v>
      </c>
      <c r="W204" s="1233">
        <v>10</v>
      </c>
      <c r="X204" s="1233">
        <v>11</v>
      </c>
      <c r="Y204" s="1233">
        <v>12</v>
      </c>
      <c r="Z204" s="1233">
        <v>13</v>
      </c>
      <c r="AA204" s="1233">
        <v>14</v>
      </c>
      <c r="AB204" s="1233">
        <v>15</v>
      </c>
      <c r="AC204" s="1233">
        <v>16</v>
      </c>
      <c r="AD204" s="1233">
        <v>17</v>
      </c>
      <c r="AE204" s="1233">
        <v>18</v>
      </c>
      <c r="AF204" s="1221">
        <v>19</v>
      </c>
      <c r="AG204" s="1233">
        <v>20</v>
      </c>
      <c r="AH204" s="1221">
        <v>21</v>
      </c>
      <c r="AI204" s="1233">
        <v>22</v>
      </c>
      <c r="AJ204" s="1233">
        <v>23</v>
      </c>
      <c r="AK204" s="1221">
        <v>24</v>
      </c>
      <c r="AL204" s="1233">
        <v>25</v>
      </c>
      <c r="AM204" s="1221">
        <v>26</v>
      </c>
      <c r="AN204" s="1233">
        <v>27</v>
      </c>
      <c r="AO204" s="1233">
        <v>28</v>
      </c>
      <c r="AP204" s="1221">
        <v>29</v>
      </c>
      <c r="AQ204" s="1233">
        <v>30</v>
      </c>
      <c r="AR204" s="1217"/>
      <c r="AS204" s="1217"/>
      <c r="AT204" s="708"/>
      <c r="AU204" s="708"/>
      <c r="AV204" s="708"/>
      <c r="AW204" s="708"/>
      <c r="AX204" s="708"/>
      <c r="AY204" s="708"/>
      <c r="AZ204" s="708"/>
      <c r="BA204" s="208"/>
      <c r="BB204" s="208"/>
      <c r="BC204" s="208"/>
      <c r="BD204" s="208"/>
      <c r="BE204" s="208"/>
      <c r="BF204" s="208"/>
      <c r="BG204" s="1184"/>
      <c r="BH204" s="1184"/>
      <c r="BI204" s="1184"/>
      <c r="BJ204" s="1184"/>
      <c r="BK204" s="1184"/>
      <c r="BL204" s="1184"/>
      <c r="BM204" s="1184"/>
      <c r="BN204" s="1184"/>
      <c r="BO204" s="1184"/>
      <c r="BP204" s="1184"/>
      <c r="BQ204" s="1184"/>
      <c r="BR204" s="1184"/>
      <c r="BS204" s="1184"/>
      <c r="BT204" s="1184"/>
      <c r="BU204" s="1184"/>
      <c r="BV204" s="1184"/>
      <c r="BW204" s="1184"/>
      <c r="BX204" s="1184"/>
      <c r="BY204" s="1184"/>
      <c r="BZ204" s="208"/>
      <c r="CA204" s="208"/>
      <c r="CB204" s="208"/>
      <c r="CC204" s="208"/>
      <c r="CD204" s="211"/>
    </row>
    <row r="205" ht="18" customHeight="1">
      <c r="A205" s="1234">
        <v>1</v>
      </c>
      <c r="B205" s="1236">
        <f>HLOOKUP($F$199,$M$204:$AP$236,2,-1)</f>
        <v>0.04</v>
      </c>
      <c r="C205" s="1236"/>
      <c r="D205" s="1236"/>
      <c r="E205" s="1217"/>
      <c r="F205" s="1233">
        <f>B205*$F$198</f>
        <v>0</v>
      </c>
      <c r="G205" s="1217"/>
      <c r="H205" s="1217"/>
      <c r="I205" s="1217"/>
      <c r="J205" s="1217"/>
      <c r="K205" s="1233">
        <f>ROUND($B205*$K$20,0)</f>
        <v>0</v>
      </c>
      <c r="L205" s="1220"/>
      <c r="M205" s="1237">
        <v>1</v>
      </c>
      <c r="N205" s="1238">
        <v>1</v>
      </c>
      <c r="O205" s="1238">
        <v>0.5</v>
      </c>
      <c r="P205" s="1238">
        <v>0.34</v>
      </c>
      <c r="Q205" s="1239">
        <v>0.2</v>
      </c>
      <c r="R205" s="1239">
        <v>0.15</v>
      </c>
      <c r="S205" s="1239">
        <v>0.1</v>
      </c>
      <c r="T205" s="1239">
        <v>0.1</v>
      </c>
      <c r="U205" s="1239">
        <v>0.08</v>
      </c>
      <c r="V205" s="1239">
        <v>0.06</v>
      </c>
      <c r="W205" s="1239">
        <v>0.07000000000000001</v>
      </c>
      <c r="X205" s="1239">
        <v>0.07000000000000001</v>
      </c>
      <c r="Y205" s="1239">
        <v>0.04</v>
      </c>
      <c r="Z205" s="1239">
        <v>0.04</v>
      </c>
      <c r="AA205" s="1239">
        <v>0.04</v>
      </c>
      <c r="AB205" s="1239">
        <v>0.04</v>
      </c>
      <c r="AC205" s="1239">
        <v>0.03</v>
      </c>
      <c r="AD205" s="1239">
        <v>0.03</v>
      </c>
      <c r="AE205" s="1239">
        <v>0.026</v>
      </c>
      <c r="AF205" s="1239">
        <v>0.01989468421052631</v>
      </c>
      <c r="AG205" s="1239">
        <v>0.01805004999999999</v>
      </c>
      <c r="AH205" s="1239">
        <v>0.0161904285714286</v>
      </c>
      <c r="AI205" s="1239">
        <v>0.01431818181818181</v>
      </c>
      <c r="AJ205" s="1239">
        <v>0.01243482608695653</v>
      </c>
      <c r="AK205" s="1239">
        <v>0.01054166666666666</v>
      </c>
      <c r="AL205" s="1239">
        <v>0.009599999999999987</v>
      </c>
      <c r="AM205" s="1239">
        <v>0.008653807692307704</v>
      </c>
      <c r="AN205" s="1239">
        <v>0.007703740740740742</v>
      </c>
      <c r="AO205" s="1239">
        <v>0.006749999999999992</v>
      </c>
      <c r="AP205" s="1239">
        <v>0.005793068965517248</v>
      </c>
      <c r="AQ205" s="1217"/>
      <c r="AR205" s="1217"/>
      <c r="AS205" s="1217"/>
      <c r="AT205" s="708"/>
      <c r="AU205" s="708"/>
      <c r="AV205" s="708"/>
      <c r="AW205" s="708"/>
      <c r="AX205" s="708"/>
      <c r="AY205" s="708"/>
      <c r="AZ205" s="708"/>
      <c r="BA205" s="208"/>
      <c r="BB205" s="208"/>
      <c r="BC205" s="208"/>
      <c r="BD205" s="208"/>
      <c r="BE205" s="208"/>
      <c r="BF205" s="208"/>
      <c r="BG205" s="1184"/>
      <c r="BH205" s="1184"/>
      <c r="BI205" s="1184"/>
      <c r="BJ205" s="1184"/>
      <c r="BK205" s="1184"/>
      <c r="BL205" s="1184"/>
      <c r="BM205" s="1184"/>
      <c r="BN205" s="1184"/>
      <c r="BO205" s="1184"/>
      <c r="BP205" s="1184"/>
      <c r="BQ205" s="1184"/>
      <c r="BR205" s="1184"/>
      <c r="BS205" s="1184"/>
      <c r="BT205" s="1184"/>
      <c r="BU205" s="1184"/>
      <c r="BV205" s="1184"/>
      <c r="BW205" s="1184"/>
      <c r="BX205" s="1184"/>
      <c r="BY205" s="1184"/>
      <c r="BZ205" s="208"/>
      <c r="CA205" s="208"/>
      <c r="CB205" s="208"/>
      <c r="CC205" s="208"/>
      <c r="CD205" s="211"/>
    </row>
    <row r="206" ht="18" customHeight="1">
      <c r="A206" s="1234">
        <v>2</v>
      </c>
      <c r="B206" s="1236">
        <f>HLOOKUP($F$199,$M$204:$AP$236,3,-1)</f>
        <v>0.06</v>
      </c>
      <c r="C206" s="1236"/>
      <c r="D206" s="1236"/>
      <c r="E206" s="1217"/>
      <c r="F206" s="1233">
        <f>B206*$F$198</f>
        <v>0</v>
      </c>
      <c r="G206" s="1217"/>
      <c r="H206" s="1217"/>
      <c r="I206" s="1217"/>
      <c r="J206" s="1217"/>
      <c r="K206" s="1233">
        <f>ROUND($B206*$K$20,0)</f>
        <v>0</v>
      </c>
      <c r="L206" s="1220"/>
      <c r="M206" s="1237"/>
      <c r="N206" s="1238"/>
      <c r="O206" s="1238">
        <v>0.5</v>
      </c>
      <c r="P206" s="1238">
        <v>0.33</v>
      </c>
      <c r="Q206" s="1239">
        <v>0.34</v>
      </c>
      <c r="R206" s="1239">
        <v>0.24</v>
      </c>
      <c r="S206" s="1239">
        <v>0.17</v>
      </c>
      <c r="T206" s="1239">
        <v>0.14</v>
      </c>
      <c r="U206" s="1239">
        <v>0.12</v>
      </c>
      <c r="V206" s="1239">
        <v>0.1</v>
      </c>
      <c r="W206" s="1239">
        <v>0.08</v>
      </c>
      <c r="X206" s="1239">
        <v>0.08</v>
      </c>
      <c r="Y206" s="1239">
        <v>0.06</v>
      </c>
      <c r="Z206" s="1239">
        <v>0.06</v>
      </c>
      <c r="AA206" s="1239">
        <v>0.05</v>
      </c>
      <c r="AB206" s="1239">
        <v>0.05</v>
      </c>
      <c r="AC206" s="1239">
        <v>0.04</v>
      </c>
      <c r="AD206" s="1239">
        <v>0.035</v>
      </c>
      <c r="AE206" s="1239">
        <v>0.033</v>
      </c>
      <c r="AF206" s="1239">
        <v>0.0248946842105263</v>
      </c>
      <c r="AG206" s="1239">
        <v>0.0189447342105263</v>
      </c>
      <c r="AH206" s="1239">
        <v>0.01724047857142859</v>
      </c>
      <c r="AI206" s="1239">
        <v>0.01550861038961041</v>
      </c>
      <c r="AJ206" s="1239">
        <v>0.01375300790513834</v>
      </c>
      <c r="AK206" s="1239">
        <v>0.01197649275362319</v>
      </c>
      <c r="AL206" s="1239">
        <v>0.01014166666666664</v>
      </c>
      <c r="AM206" s="1239">
        <v>0.009253807692307691</v>
      </c>
      <c r="AN206" s="1239">
        <v>0.008357548433048445</v>
      </c>
      <c r="AO206" s="1239">
        <v>0.007453740740740734</v>
      </c>
      <c r="AP206" s="1239">
        <v>0.00654306896551724</v>
      </c>
      <c r="AQ206" s="1217"/>
      <c r="AR206" s="1217"/>
      <c r="AS206" s="1217"/>
      <c r="AT206" s="708"/>
      <c r="AU206" s="708"/>
      <c r="AV206" s="708"/>
      <c r="AW206" s="708"/>
      <c r="AX206" s="708"/>
      <c r="AY206" s="708"/>
      <c r="AZ206" s="708"/>
      <c r="BA206" s="208"/>
      <c r="BB206" s="208"/>
      <c r="BC206" s="208"/>
      <c r="BD206" s="208"/>
      <c r="BE206" s="208"/>
      <c r="BF206" s="208"/>
      <c r="BG206" s="1184"/>
      <c r="BH206" s="1184"/>
      <c r="BI206" s="1184"/>
      <c r="BJ206" s="1184"/>
      <c r="BK206" s="1184"/>
      <c r="BL206" s="1184"/>
      <c r="BM206" s="1184"/>
      <c r="BN206" s="1184"/>
      <c r="BO206" s="1184"/>
      <c r="BP206" s="1184"/>
      <c r="BQ206" s="1184"/>
      <c r="BR206" s="1184"/>
      <c r="BS206" s="1184"/>
      <c r="BT206" s="1184"/>
      <c r="BU206" s="1184"/>
      <c r="BV206" s="1184"/>
      <c r="BW206" s="1184"/>
      <c r="BX206" s="1184"/>
      <c r="BY206" s="1184"/>
      <c r="BZ206" s="208"/>
      <c r="CA206" s="208"/>
      <c r="CB206" s="208"/>
      <c r="CC206" s="208"/>
      <c r="CD206" s="211"/>
    </row>
    <row r="207" ht="18" customHeight="1">
      <c r="A207" s="1234">
        <v>3</v>
      </c>
      <c r="B207" s="1236">
        <f>HLOOKUP($F$199,$M$204:$AP$236,4,-1)</f>
        <v>0.08</v>
      </c>
      <c r="C207" s="1236"/>
      <c r="D207" s="1236"/>
      <c r="E207" s="1217"/>
      <c r="F207" s="1233">
        <f>B207*$F$198</f>
        <v>0</v>
      </c>
      <c r="G207" s="1217"/>
      <c r="H207" s="1217"/>
      <c r="I207" s="1217"/>
      <c r="J207" s="1217"/>
      <c r="K207" s="1233">
        <f>ROUND($B207*$K$20,0)</f>
        <v>0</v>
      </c>
      <c r="L207" s="1220"/>
      <c r="M207" s="1216"/>
      <c r="N207" s="1238"/>
      <c r="O207" s="1217"/>
      <c r="P207" s="1238">
        <v>0.33</v>
      </c>
      <c r="Q207" s="1239">
        <v>0.29</v>
      </c>
      <c r="R207" s="1239">
        <v>0.27</v>
      </c>
      <c r="S207" s="1239">
        <v>0.2</v>
      </c>
      <c r="T207" s="1239">
        <v>0.17</v>
      </c>
      <c r="U207" s="1239">
        <v>0.15</v>
      </c>
      <c r="V207" s="1239">
        <v>0.13</v>
      </c>
      <c r="W207" s="1239">
        <v>0.1</v>
      </c>
      <c r="X207" s="1239">
        <v>0.1</v>
      </c>
      <c r="Y207" s="1239">
        <v>0.08</v>
      </c>
      <c r="Z207" s="1239">
        <v>0.08</v>
      </c>
      <c r="AA207" s="1239">
        <v>0.08</v>
      </c>
      <c r="AB207" s="1239">
        <v>0.07000000000000001</v>
      </c>
      <c r="AC207" s="1239">
        <v>0.045</v>
      </c>
      <c r="AD207" s="1239">
        <v>0.04</v>
      </c>
      <c r="AE207" s="1239">
        <v>0.04</v>
      </c>
      <c r="AF207" s="1239">
        <v>0.03189468421052631</v>
      </c>
      <c r="AG207" s="1239">
        <v>0.0239447342105263</v>
      </c>
      <c r="AH207" s="1239">
        <v>0.0181351627819549</v>
      </c>
      <c r="AI207" s="1239">
        <v>0.0165586603896104</v>
      </c>
      <c r="AJ207" s="1239">
        <v>0.01494343647656694</v>
      </c>
      <c r="AK207" s="1239">
        <v>0.013294674571805</v>
      </c>
      <c r="AL207" s="1239">
        <v>0.01157649275362318</v>
      </c>
      <c r="AM207" s="1239">
        <v>0.009795474358974347</v>
      </c>
      <c r="AN207" s="1239">
        <v>0.008957548433048433</v>
      </c>
      <c r="AO207" s="1239">
        <v>0.008107548433048437</v>
      </c>
      <c r="AP207" s="1239">
        <v>0.007246809706257982</v>
      </c>
      <c r="AQ207" s="1217"/>
      <c r="AR207" s="1217"/>
      <c r="AS207" s="1217"/>
      <c r="AT207" s="708"/>
      <c r="AU207" s="708"/>
      <c r="AV207" s="708"/>
      <c r="AW207" s="708"/>
      <c r="AX207" s="708"/>
      <c r="AY207" s="708"/>
      <c r="AZ207" s="708"/>
      <c r="BA207" s="208"/>
      <c r="BB207" s="208"/>
      <c r="BC207" s="208"/>
      <c r="BD207" s="208"/>
      <c r="BE207" s="208"/>
      <c r="BF207" s="208"/>
      <c r="BG207" s="1184"/>
      <c r="BH207" s="1184"/>
      <c r="BI207" s="1184"/>
      <c r="BJ207" s="1184"/>
      <c r="BK207" s="1184"/>
      <c r="BL207" s="1184"/>
      <c r="BM207" s="1184"/>
      <c r="BN207" s="1184"/>
      <c r="BO207" s="1184"/>
      <c r="BP207" s="1184"/>
      <c r="BQ207" s="1184"/>
      <c r="BR207" s="1184"/>
      <c r="BS207" s="1184"/>
      <c r="BT207" s="1184"/>
      <c r="BU207" s="1184"/>
      <c r="BV207" s="1184"/>
      <c r="BW207" s="1184"/>
      <c r="BX207" s="1184"/>
      <c r="BY207" s="1184"/>
      <c r="BZ207" s="208"/>
      <c r="CA207" s="208"/>
      <c r="CB207" s="208"/>
      <c r="CC207" s="208"/>
      <c r="CD207" s="211"/>
    </row>
    <row r="208" ht="18" customHeight="1">
      <c r="A208" s="1234">
        <v>4</v>
      </c>
      <c r="B208" s="1236">
        <f>HLOOKUP($F$199,$M$204:$AP$236,5,-1)</f>
        <v>0.09</v>
      </c>
      <c r="C208" s="1236"/>
      <c r="D208" s="1236"/>
      <c r="E208" s="1217"/>
      <c r="F208" s="1233">
        <f>B208*$F$198</f>
        <v>0</v>
      </c>
      <c r="G208" s="1217"/>
      <c r="H208" s="1217"/>
      <c r="I208" s="1217"/>
      <c r="J208" s="1217"/>
      <c r="K208" s="1233">
        <f>ROUND($B208*$K$20,0)</f>
        <v>0</v>
      </c>
      <c r="L208" s="1220"/>
      <c r="M208" s="1216"/>
      <c r="N208" s="1217"/>
      <c r="O208" s="1217"/>
      <c r="P208" s="1217"/>
      <c r="Q208" s="1239">
        <v>0.17</v>
      </c>
      <c r="R208" s="1239">
        <v>0.21</v>
      </c>
      <c r="S208" s="1239">
        <v>0.2</v>
      </c>
      <c r="T208" s="1239">
        <v>0.17</v>
      </c>
      <c r="U208" s="1239">
        <v>0.15</v>
      </c>
      <c r="V208" s="1239">
        <v>0.15</v>
      </c>
      <c r="W208" s="1239">
        <v>0.12</v>
      </c>
      <c r="X208" s="1239">
        <v>0.11</v>
      </c>
      <c r="Y208" s="1239">
        <v>0.09</v>
      </c>
      <c r="Z208" s="1239">
        <v>0.08</v>
      </c>
      <c r="AA208" s="1239">
        <v>0.08</v>
      </c>
      <c r="AB208" s="1239">
        <v>0.08</v>
      </c>
      <c r="AC208" s="1239">
        <v>0.06</v>
      </c>
      <c r="AD208" s="1239">
        <v>0.055</v>
      </c>
      <c r="AE208" s="1239">
        <v>0.051</v>
      </c>
      <c r="AF208" s="1239">
        <v>0.03889468421052631</v>
      </c>
      <c r="AG208" s="1239">
        <v>0.03094473421052631</v>
      </c>
      <c r="AH208" s="1239">
        <v>0.0231351627819549</v>
      </c>
      <c r="AI208" s="1239">
        <v>0.01745334460013671</v>
      </c>
      <c r="AJ208" s="1239">
        <v>0.01599348647656693</v>
      </c>
      <c r="AK208" s="1239">
        <v>0.01448510314323359</v>
      </c>
      <c r="AL208" s="1239">
        <v>0.01289467457180498</v>
      </c>
      <c r="AM208" s="1239">
        <v>0.01123030044593088</v>
      </c>
      <c r="AN208" s="1239">
        <v>0.009499215099715089</v>
      </c>
      <c r="AO208" s="1239">
        <v>0.008707548433048426</v>
      </c>
      <c r="AP208" s="1239">
        <v>0.007900617398565684</v>
      </c>
      <c r="AQ208" s="1217"/>
      <c r="AR208" s="1217"/>
      <c r="AS208" s="1217"/>
      <c r="AT208" s="708"/>
      <c r="AU208" s="708"/>
      <c r="AV208" s="708"/>
      <c r="AW208" s="708"/>
      <c r="AX208" s="708"/>
      <c r="AY208" s="708"/>
      <c r="AZ208" s="708"/>
      <c r="BA208" s="208"/>
      <c r="BB208" s="208"/>
      <c r="BC208" s="208"/>
      <c r="BD208" s="208"/>
      <c r="BE208" s="208"/>
      <c r="BF208" s="208"/>
      <c r="BG208" s="1184"/>
      <c r="BH208" s="1184"/>
      <c r="BI208" s="1184"/>
      <c r="BJ208" s="1184"/>
      <c r="BK208" s="1184"/>
      <c r="BL208" s="1184"/>
      <c r="BM208" s="1184"/>
      <c r="BN208" s="1184"/>
      <c r="BO208" s="1184"/>
      <c r="BP208" s="1184"/>
      <c r="BQ208" s="1184"/>
      <c r="BR208" s="1184"/>
      <c r="BS208" s="1184"/>
      <c r="BT208" s="1184"/>
      <c r="BU208" s="1184"/>
      <c r="BV208" s="1184"/>
      <c r="BW208" s="1184"/>
      <c r="BX208" s="1184"/>
      <c r="BY208" s="1184"/>
      <c r="BZ208" s="208"/>
      <c r="CA208" s="208"/>
      <c r="CB208" s="208"/>
      <c r="CC208" s="208"/>
      <c r="CD208" s="211"/>
    </row>
    <row r="209" ht="18" customHeight="1">
      <c r="A209" s="1234">
        <v>5</v>
      </c>
      <c r="B209" s="1236">
        <f>HLOOKUP($F$199,$M$204:$AP$236,6,-1)</f>
        <v>0.1</v>
      </c>
      <c r="C209" s="1236"/>
      <c r="D209" s="1236"/>
      <c r="E209" s="1217"/>
      <c r="F209" s="1233">
        <f>B209*$F$198</f>
        <v>0</v>
      </c>
      <c r="G209" s="1217"/>
      <c r="H209" s="1217"/>
      <c r="I209" s="1217"/>
      <c r="J209" s="1217"/>
      <c r="K209" s="1233">
        <f>ROUND($B209*$K$20,0)</f>
        <v>0</v>
      </c>
      <c r="L209" s="1220"/>
      <c r="M209" s="1216"/>
      <c r="N209" s="1217"/>
      <c r="O209" s="1217"/>
      <c r="P209" s="1217"/>
      <c r="Q209" s="1239"/>
      <c r="R209" s="1239">
        <v>0.13</v>
      </c>
      <c r="S209" s="1239">
        <v>0.17</v>
      </c>
      <c r="T209" s="1239">
        <v>0.16</v>
      </c>
      <c r="U209" s="1239">
        <v>0.15</v>
      </c>
      <c r="V209" s="1239">
        <v>0.16</v>
      </c>
      <c r="W209" s="1239">
        <v>0.12</v>
      </c>
      <c r="X209" s="1239">
        <v>0.11</v>
      </c>
      <c r="Y209" s="1239">
        <v>0.1</v>
      </c>
      <c r="Z209" s="1239">
        <v>0.09</v>
      </c>
      <c r="AA209" s="1239">
        <v>0.09</v>
      </c>
      <c r="AB209" s="1239">
        <v>0.08</v>
      </c>
      <c r="AC209" s="1239">
        <v>0.065</v>
      </c>
      <c r="AD209" s="1239">
        <v>0.06</v>
      </c>
      <c r="AE209" s="1239">
        <v>0.055</v>
      </c>
      <c r="AF209" s="1239">
        <v>0.04989468421052631</v>
      </c>
      <c r="AG209" s="1239">
        <v>0.03794473421052631</v>
      </c>
      <c r="AH209" s="1239">
        <v>0.0301351627819549</v>
      </c>
      <c r="AI209" s="1239">
        <v>0.0224533446001367</v>
      </c>
      <c r="AJ209" s="1239">
        <v>0.01688817068709324</v>
      </c>
      <c r="AK209" s="1239">
        <v>0.01553515314323358</v>
      </c>
      <c r="AL209" s="1239">
        <v>0.01408510314323358</v>
      </c>
      <c r="AM209" s="1239">
        <v>0.01254848226411269</v>
      </c>
      <c r="AN209" s="1239">
        <v>0.01093404118667162</v>
      </c>
      <c r="AO209" s="1239">
        <v>0.009249215099715082</v>
      </c>
      <c r="AP209" s="1239">
        <v>0.008500617398565674</v>
      </c>
      <c r="AQ209" s="1217"/>
      <c r="AR209" s="1217"/>
      <c r="AS209" s="1217"/>
      <c r="AT209" s="708"/>
      <c r="AU209" s="708"/>
      <c r="AV209" s="708"/>
      <c r="AW209" s="708"/>
      <c r="AX209" s="708"/>
      <c r="AY209" s="708"/>
      <c r="AZ209" s="708"/>
      <c r="BA209" s="208"/>
      <c r="BB209" s="208"/>
      <c r="BC209" s="208"/>
      <c r="BD209" s="208"/>
      <c r="BE209" s="208"/>
      <c r="BF209" s="208"/>
      <c r="BG209" s="1184"/>
      <c r="BH209" s="1184"/>
      <c r="BI209" s="1184"/>
      <c r="BJ209" s="1184"/>
      <c r="BK209" s="1184"/>
      <c r="BL209" s="1184"/>
      <c r="BM209" s="1184"/>
      <c r="BN209" s="1184"/>
      <c r="BO209" s="1184"/>
      <c r="BP209" s="1184"/>
      <c r="BQ209" s="1184"/>
      <c r="BR209" s="1184"/>
      <c r="BS209" s="1184"/>
      <c r="BT209" s="1184"/>
      <c r="BU209" s="1184"/>
      <c r="BV209" s="1184"/>
      <c r="BW209" s="1184"/>
      <c r="BX209" s="1184"/>
      <c r="BY209" s="1184"/>
      <c r="BZ209" s="208"/>
      <c r="CA209" s="208"/>
      <c r="CB209" s="208"/>
      <c r="CC209" s="208"/>
      <c r="CD209" s="211"/>
    </row>
    <row r="210" ht="18" customHeight="1">
      <c r="A210" s="1234">
        <v>6</v>
      </c>
      <c r="B210" s="1236">
        <f>HLOOKUP($F$199,$M$204:$AP$236,7,-1)</f>
        <v>0.1</v>
      </c>
      <c r="C210" s="1236"/>
      <c r="D210" s="1236"/>
      <c r="E210" s="1217"/>
      <c r="F210" s="1233">
        <f>B210*$F$198</f>
        <v>0</v>
      </c>
      <c r="G210" s="1217"/>
      <c r="H210" s="1217"/>
      <c r="I210" s="1217"/>
      <c r="J210" s="1217"/>
      <c r="K210" s="1233">
        <f>ROUND($B210*$K$20,0)</f>
        <v>0</v>
      </c>
      <c r="L210" s="1220"/>
      <c r="M210" s="1216"/>
      <c r="N210" s="1217"/>
      <c r="O210" s="1217"/>
      <c r="P210" s="1217"/>
      <c r="Q210" s="1239"/>
      <c r="R210" s="1239"/>
      <c r="S210" s="1239">
        <v>0.16</v>
      </c>
      <c r="T210" s="1239">
        <v>0.14</v>
      </c>
      <c r="U210" s="1239">
        <v>0.14</v>
      </c>
      <c r="V210" s="1239">
        <v>0.15</v>
      </c>
      <c r="W210" s="1239">
        <v>0.12</v>
      </c>
      <c r="X210" s="1239">
        <v>0.11</v>
      </c>
      <c r="Y210" s="1239">
        <v>0.1</v>
      </c>
      <c r="Z210" s="1239">
        <v>0.09</v>
      </c>
      <c r="AA210" s="1239">
        <v>0.09</v>
      </c>
      <c r="AB210" s="1239">
        <v>0.09</v>
      </c>
      <c r="AC210" s="1239">
        <v>0.06</v>
      </c>
      <c r="AD210" s="1239">
        <v>0.06</v>
      </c>
      <c r="AE210" s="1239">
        <v>0.06</v>
      </c>
      <c r="AF210" s="1239">
        <v>0.05389468421052631</v>
      </c>
      <c r="AG210" s="1239">
        <v>0.0489447342105263</v>
      </c>
      <c r="AH210" s="1239">
        <v>0.0371351627819549</v>
      </c>
      <c r="AI210" s="1239">
        <v>0.02945334460013671</v>
      </c>
      <c r="AJ210" s="1239">
        <v>0.02188817068709323</v>
      </c>
      <c r="AK210" s="1239">
        <v>0.0164298373537599</v>
      </c>
      <c r="AL210" s="1239">
        <v>0.01513515314323357</v>
      </c>
      <c r="AM210" s="1239">
        <v>0.01373891083554129</v>
      </c>
      <c r="AN210" s="1239">
        <v>0.01225222300485343</v>
      </c>
      <c r="AO210" s="1239">
        <v>0.01068404118667161</v>
      </c>
      <c r="AP210" s="1239">
        <v>0.009042284065232329</v>
      </c>
      <c r="AQ210" s="1217"/>
      <c r="AR210" s="1217"/>
      <c r="AS210" s="1217"/>
      <c r="AT210" s="708"/>
      <c r="AU210" s="708"/>
      <c r="AV210" s="708"/>
      <c r="AW210" s="708"/>
      <c r="AX210" s="708"/>
      <c r="AY210" s="708"/>
      <c r="AZ210" s="708"/>
      <c r="BA210" s="208"/>
      <c r="BB210" s="208"/>
      <c r="BC210" s="208"/>
      <c r="BD210" s="208"/>
      <c r="BE210" s="208"/>
      <c r="BF210" s="208"/>
      <c r="BG210" s="1184"/>
      <c r="BH210" s="1184"/>
      <c r="BI210" s="1184"/>
      <c r="BJ210" s="1184"/>
      <c r="BK210" s="1184"/>
      <c r="BL210" s="1184"/>
      <c r="BM210" s="1184"/>
      <c r="BN210" s="1184"/>
      <c r="BO210" s="1184"/>
      <c r="BP210" s="1184"/>
      <c r="BQ210" s="1184"/>
      <c r="BR210" s="1184"/>
      <c r="BS210" s="1184"/>
      <c r="BT210" s="1184"/>
      <c r="BU210" s="1184"/>
      <c r="BV210" s="1184"/>
      <c r="BW210" s="1184"/>
      <c r="BX210" s="1184"/>
      <c r="BY210" s="1184"/>
      <c r="BZ210" s="208"/>
      <c r="CA210" s="208"/>
      <c r="CB210" s="208"/>
      <c r="CC210" s="208"/>
      <c r="CD210" s="211"/>
    </row>
    <row r="211" ht="18" customHeight="1">
      <c r="A211" s="1234">
        <v>7</v>
      </c>
      <c r="B211" s="1236">
        <f>HLOOKUP($F$199,$M$204:$AP$236,8,-1)</f>
        <v>0.1</v>
      </c>
      <c r="C211" s="1236"/>
      <c r="D211" s="1236"/>
      <c r="E211" s="1217"/>
      <c r="F211" s="1233">
        <f>B211*$F$198</f>
        <v>0</v>
      </c>
      <c r="G211" s="1217"/>
      <c r="H211" s="1217"/>
      <c r="I211" s="1217"/>
      <c r="J211" s="1217"/>
      <c r="K211" s="1233">
        <f>ROUND($B211*$K$20,0)</f>
        <v>0</v>
      </c>
      <c r="L211" s="1220"/>
      <c r="M211" s="1216"/>
      <c r="N211" s="1217"/>
      <c r="O211" s="1217"/>
      <c r="P211" s="1217"/>
      <c r="Q211" s="1239"/>
      <c r="R211" s="1239"/>
      <c r="S211" s="1239"/>
      <c r="T211" s="1239">
        <v>0.12</v>
      </c>
      <c r="U211" s="1239">
        <v>0.12</v>
      </c>
      <c r="V211" s="1239">
        <v>0.11</v>
      </c>
      <c r="W211" s="1239">
        <v>0.12</v>
      </c>
      <c r="X211" s="1239">
        <v>0.11</v>
      </c>
      <c r="Y211" s="1239">
        <v>0.1</v>
      </c>
      <c r="Z211" s="1239">
        <v>0.09</v>
      </c>
      <c r="AA211" s="1239">
        <v>0.09</v>
      </c>
      <c r="AB211" s="1239">
        <v>0.09</v>
      </c>
      <c r="AC211" s="1239">
        <v>0.07000000000000001</v>
      </c>
      <c r="AD211" s="1239">
        <v>0.07000000000000001</v>
      </c>
      <c r="AE211" s="1239">
        <v>0.065</v>
      </c>
      <c r="AF211" s="1239">
        <v>0.05889468421052631</v>
      </c>
      <c r="AG211" s="1239">
        <v>0.0529447342105263</v>
      </c>
      <c r="AH211" s="1239">
        <v>0.0481351627819549</v>
      </c>
      <c r="AI211" s="1239">
        <v>0.03645334460013671</v>
      </c>
      <c r="AJ211" s="1239">
        <v>0.02888817068709324</v>
      </c>
      <c r="AK211" s="1239">
        <v>0.02142983735375989</v>
      </c>
      <c r="AL211" s="1239">
        <v>0.01602983735375988</v>
      </c>
      <c r="AM211" s="1239">
        <v>0.01478896083554127</v>
      </c>
      <c r="AN211" s="1239">
        <v>0.01344265157628203</v>
      </c>
      <c r="AO211" s="1239">
        <v>0.01200222300485342</v>
      </c>
      <c r="AP211" s="1239">
        <v>0.01047711015218886</v>
      </c>
      <c r="AQ211" s="1217"/>
      <c r="AR211" s="1217"/>
      <c r="AS211" s="1217"/>
      <c r="AT211" s="708"/>
      <c r="AU211" s="708"/>
      <c r="AV211" s="708"/>
      <c r="AW211" s="708"/>
      <c r="AX211" s="708"/>
      <c r="AY211" s="708"/>
      <c r="AZ211" s="708"/>
      <c r="BA211" s="208"/>
      <c r="BB211" s="208"/>
      <c r="BC211" s="208"/>
      <c r="BD211" s="208"/>
      <c r="BE211" s="208"/>
      <c r="BF211" s="208"/>
      <c r="BG211" s="1184"/>
      <c r="BH211" s="1184"/>
      <c r="BI211" s="1184"/>
      <c r="BJ211" s="1184"/>
      <c r="BK211" s="1184"/>
      <c r="BL211" s="1184"/>
      <c r="BM211" s="1184"/>
      <c r="BN211" s="1184"/>
      <c r="BO211" s="1184"/>
      <c r="BP211" s="1184"/>
      <c r="BQ211" s="1184"/>
      <c r="BR211" s="1184"/>
      <c r="BS211" s="1184"/>
      <c r="BT211" s="1184"/>
      <c r="BU211" s="1184"/>
      <c r="BV211" s="1184"/>
      <c r="BW211" s="1184"/>
      <c r="BX211" s="1184"/>
      <c r="BY211" s="1184"/>
      <c r="BZ211" s="208"/>
      <c r="CA211" s="208"/>
      <c r="CB211" s="208"/>
      <c r="CC211" s="208"/>
      <c r="CD211" s="211"/>
    </row>
    <row r="212" ht="18" customHeight="1">
      <c r="A212" s="1234">
        <v>8</v>
      </c>
      <c r="B212" s="1236">
        <f>HLOOKUP($F$199,$M$204:$AP$236,9,-1)</f>
        <v>0.1</v>
      </c>
      <c r="C212" s="1236"/>
      <c r="D212" s="1236"/>
      <c r="E212" s="1217"/>
      <c r="F212" s="1233">
        <f>B212*$F$198</f>
        <v>0</v>
      </c>
      <c r="G212" s="1217"/>
      <c r="H212" s="1217"/>
      <c r="I212" s="1217"/>
      <c r="J212" s="1217"/>
      <c r="K212" s="1233">
        <f>ROUND($B212*$K$20,0)</f>
        <v>0</v>
      </c>
      <c r="L212" s="1220"/>
      <c r="M212" s="1216"/>
      <c r="N212" s="1217"/>
      <c r="O212" s="1217"/>
      <c r="P212" s="1217"/>
      <c r="Q212" s="1239"/>
      <c r="R212" s="1239"/>
      <c r="S212" s="1239"/>
      <c r="T212" s="1239"/>
      <c r="U212" s="1239">
        <v>0.09</v>
      </c>
      <c r="V212" s="1239">
        <v>0.07000000000000001</v>
      </c>
      <c r="W212" s="1239">
        <v>0.11</v>
      </c>
      <c r="X212" s="1239">
        <v>0.11</v>
      </c>
      <c r="Y212" s="1239">
        <v>0.1</v>
      </c>
      <c r="Z212" s="1239">
        <v>0.09</v>
      </c>
      <c r="AA212" s="1239">
        <v>0.09</v>
      </c>
      <c r="AB212" s="1239">
        <v>0.09</v>
      </c>
      <c r="AC212" s="1239">
        <v>0.075</v>
      </c>
      <c r="AD212" s="1239">
        <v>0.07000000000000001</v>
      </c>
      <c r="AE212" s="1239">
        <v>0.067</v>
      </c>
      <c r="AF212" s="1239">
        <v>0.06389468421052631</v>
      </c>
      <c r="AG212" s="1239">
        <v>0.0579447342105263</v>
      </c>
      <c r="AH212" s="1239">
        <v>0.0521351627819549</v>
      </c>
      <c r="AI212" s="1239">
        <v>0.04745334460013671</v>
      </c>
      <c r="AJ212" s="1239">
        <v>0.03588817068709324</v>
      </c>
      <c r="AK212" s="1239">
        <v>0.0284298373537599</v>
      </c>
      <c r="AL212" s="1239">
        <v>0.02102983735375988</v>
      </c>
      <c r="AM212" s="1239">
        <v>0.01568364504606758</v>
      </c>
      <c r="AN212" s="1239">
        <v>0.01449270157628202</v>
      </c>
      <c r="AO212" s="1239">
        <v>0.01319265157628202</v>
      </c>
      <c r="AP212" s="1239">
        <v>0.01179529197037067</v>
      </c>
      <c r="AQ212" s="1217"/>
      <c r="AR212" s="1217"/>
      <c r="AS212" s="1217"/>
      <c r="AT212" s="708"/>
      <c r="AU212" s="708"/>
      <c r="AV212" s="708"/>
      <c r="AW212" s="708"/>
      <c r="AX212" s="708"/>
      <c r="AY212" s="708"/>
      <c r="AZ212" s="708"/>
      <c r="BA212" s="208"/>
      <c r="BB212" s="208"/>
      <c r="BC212" s="208"/>
      <c r="BD212" s="208"/>
      <c r="BE212" s="208"/>
      <c r="BF212" s="208"/>
      <c r="BG212" s="1184"/>
      <c r="BH212" s="1184"/>
      <c r="BI212" s="1184"/>
      <c r="BJ212" s="1184"/>
      <c r="BK212" s="1184"/>
      <c r="BL212" s="1184"/>
      <c r="BM212" s="1184"/>
      <c r="BN212" s="1184"/>
      <c r="BO212" s="1184"/>
      <c r="BP212" s="1184"/>
      <c r="BQ212" s="1184"/>
      <c r="BR212" s="1184"/>
      <c r="BS212" s="1184"/>
      <c r="BT212" s="1184"/>
      <c r="BU212" s="1184"/>
      <c r="BV212" s="1184"/>
      <c r="BW212" s="1184"/>
      <c r="BX212" s="1184"/>
      <c r="BY212" s="1184"/>
      <c r="BZ212" s="208"/>
      <c r="CA212" s="208"/>
      <c r="CB212" s="208"/>
      <c r="CC212" s="208"/>
      <c r="CD212" s="211"/>
    </row>
    <row r="213" ht="18" customHeight="1">
      <c r="A213" s="1234">
        <v>9</v>
      </c>
      <c r="B213" s="1236">
        <f>HLOOKUP($F$199,$M$204:$AP$236,10,-1)</f>
        <v>0.09</v>
      </c>
      <c r="C213" s="1236"/>
      <c r="D213" s="1236"/>
      <c r="E213" s="1217"/>
      <c r="F213" s="1233">
        <f>B213*$F$198</f>
        <v>0</v>
      </c>
      <c r="G213" s="1217"/>
      <c r="H213" s="1217"/>
      <c r="I213" s="1217"/>
      <c r="J213" s="1217"/>
      <c r="K213" s="1233">
        <f>ROUND($B213*$K$20,0)</f>
        <v>0</v>
      </c>
      <c r="L213" s="1220"/>
      <c r="M213" s="1216"/>
      <c r="N213" s="1217"/>
      <c r="O213" s="1217"/>
      <c r="P213" s="1217"/>
      <c r="Q213" s="1239"/>
      <c r="R213" s="1239"/>
      <c r="S213" s="1239"/>
      <c r="T213" s="1239"/>
      <c r="U213" s="1239"/>
      <c r="V213" s="1239">
        <v>0.07000000000000001</v>
      </c>
      <c r="W213" s="1239">
        <v>0.06</v>
      </c>
      <c r="X213" s="1239">
        <v>0.06</v>
      </c>
      <c r="Y213" s="1239">
        <v>0.09</v>
      </c>
      <c r="Z213" s="1239">
        <v>0.09</v>
      </c>
      <c r="AA213" s="1239">
        <v>0.09</v>
      </c>
      <c r="AB213" s="1239">
        <v>0.09</v>
      </c>
      <c r="AC213" s="1239">
        <v>0.075</v>
      </c>
      <c r="AD213" s="1239">
        <v>0.07000000000000001</v>
      </c>
      <c r="AE213" s="1239">
        <v>0.06900000000000001</v>
      </c>
      <c r="AF213" s="1239">
        <v>0.06589468421052631</v>
      </c>
      <c r="AG213" s="1239">
        <v>0.06294473421052631</v>
      </c>
      <c r="AH213" s="1239">
        <v>0.0571351627819549</v>
      </c>
      <c r="AI213" s="1239">
        <v>0.05145334460013671</v>
      </c>
      <c r="AJ213" s="1239">
        <v>0.04688817068709324</v>
      </c>
      <c r="AK213" s="1239">
        <v>0.0354298373537599</v>
      </c>
      <c r="AL213" s="1239">
        <v>0.02802983735375988</v>
      </c>
      <c r="AM213" s="1239">
        <v>0.02068364504606758</v>
      </c>
      <c r="AN213" s="1239">
        <v>0.01538738578680833</v>
      </c>
      <c r="AO213" s="1239">
        <v>0.01424270157628201</v>
      </c>
      <c r="AP213" s="1239">
        <v>0.01298572054179927</v>
      </c>
      <c r="AQ213" s="1217"/>
      <c r="AR213" s="1217"/>
      <c r="AS213" s="1217"/>
      <c r="AT213" s="708"/>
      <c r="AU213" s="708"/>
      <c r="AV213" s="708"/>
      <c r="AW213" s="708"/>
      <c r="AX213" s="708"/>
      <c r="AY213" s="708"/>
      <c r="AZ213" s="708"/>
      <c r="BA213" s="208"/>
      <c r="BB213" s="208"/>
      <c r="BC213" s="208"/>
      <c r="BD213" s="208"/>
      <c r="BE213" s="208"/>
      <c r="BF213" s="208"/>
      <c r="BG213" s="1184"/>
      <c r="BH213" s="1184"/>
      <c r="BI213" s="1184"/>
      <c r="BJ213" s="1184"/>
      <c r="BK213" s="1184"/>
      <c r="BL213" s="1184"/>
      <c r="BM213" s="1184"/>
      <c r="BN213" s="1184"/>
      <c r="BO213" s="1184"/>
      <c r="BP213" s="1184"/>
      <c r="BQ213" s="1184"/>
      <c r="BR213" s="1184"/>
      <c r="BS213" s="1184"/>
      <c r="BT213" s="1184"/>
      <c r="BU213" s="1184"/>
      <c r="BV213" s="1184"/>
      <c r="BW213" s="1184"/>
      <c r="BX213" s="1184"/>
      <c r="BY213" s="1184"/>
      <c r="BZ213" s="208"/>
      <c r="CA213" s="208"/>
      <c r="CB213" s="208"/>
      <c r="CC213" s="208"/>
      <c r="CD213" s="211"/>
    </row>
    <row r="214" ht="18" customHeight="1">
      <c r="A214" s="1234">
        <v>10</v>
      </c>
      <c r="B214" s="1236">
        <f>HLOOKUP($F$199,$M$204:$AP$236,11,-1)</f>
        <v>0.08</v>
      </c>
      <c r="C214" s="1236"/>
      <c r="D214" s="1236"/>
      <c r="E214" s="1217"/>
      <c r="F214" s="1233">
        <f>B214*$F$198</f>
        <v>0</v>
      </c>
      <c r="G214" s="1217"/>
      <c r="H214" s="1217"/>
      <c r="I214" s="1217"/>
      <c r="J214" s="1217"/>
      <c r="K214" s="1233">
        <f>ROUND($B214*$K$20,0)</f>
        <v>0</v>
      </c>
      <c r="L214" s="1220"/>
      <c r="M214" s="1216"/>
      <c r="N214" s="1217"/>
      <c r="O214" s="1217"/>
      <c r="P214" s="1217"/>
      <c r="Q214" s="1239"/>
      <c r="R214" s="1239"/>
      <c r="S214" s="1239"/>
      <c r="T214" s="1239"/>
      <c r="U214" s="1239"/>
      <c r="V214" s="1239"/>
      <c r="W214" s="1239">
        <v>0.1</v>
      </c>
      <c r="X214" s="1239">
        <v>0.08</v>
      </c>
      <c r="Y214" s="1239">
        <v>0.08</v>
      </c>
      <c r="Z214" s="1239">
        <v>0.08</v>
      </c>
      <c r="AA214" s="1239">
        <v>0.08</v>
      </c>
      <c r="AB214" s="1239">
        <v>0.07000000000000001</v>
      </c>
      <c r="AC214" s="1239">
        <v>0.075</v>
      </c>
      <c r="AD214" s="1239">
        <v>0.07000000000000001</v>
      </c>
      <c r="AE214" s="1239">
        <v>0.06900000000000001</v>
      </c>
      <c r="AF214" s="1239">
        <v>0.06789468421052632</v>
      </c>
      <c r="AG214" s="1239">
        <v>0.06494473421052631</v>
      </c>
      <c r="AH214" s="1239">
        <v>0.0621351627819549</v>
      </c>
      <c r="AI214" s="1239">
        <v>0.05645334460013671</v>
      </c>
      <c r="AJ214" s="1239">
        <v>0.05088817068709324</v>
      </c>
      <c r="AK214" s="1239">
        <v>0.04642983735375989</v>
      </c>
      <c r="AL214" s="1239">
        <v>0.03502983735375988</v>
      </c>
      <c r="AM214" s="1239">
        <v>0.02768364504606759</v>
      </c>
      <c r="AN214" s="1239">
        <v>0.02038738578680832</v>
      </c>
      <c r="AO214" s="1239">
        <v>0.01513738578680832</v>
      </c>
      <c r="AP214" s="1239">
        <v>0.01403577054179926</v>
      </c>
      <c r="AQ214" s="1217"/>
      <c r="AR214" s="1217"/>
      <c r="AS214" s="1217"/>
      <c r="AT214" s="708"/>
      <c r="AU214" s="708"/>
      <c r="AV214" s="708"/>
      <c r="AW214" s="708"/>
      <c r="AX214" s="708"/>
      <c r="AY214" s="708"/>
      <c r="AZ214" s="708"/>
      <c r="BA214" s="208"/>
      <c r="BB214" s="208"/>
      <c r="BC214" s="208"/>
      <c r="BD214" s="208"/>
      <c r="BE214" s="208"/>
      <c r="BF214" s="208"/>
      <c r="BG214" s="1184"/>
      <c r="BH214" s="1184"/>
      <c r="BI214" s="1184"/>
      <c r="BJ214" s="1184"/>
      <c r="BK214" s="1184"/>
      <c r="BL214" s="1184"/>
      <c r="BM214" s="1184"/>
      <c r="BN214" s="1184"/>
      <c r="BO214" s="1184"/>
      <c r="BP214" s="1184"/>
      <c r="BQ214" s="1184"/>
      <c r="BR214" s="1184"/>
      <c r="BS214" s="1184"/>
      <c r="BT214" s="1184"/>
      <c r="BU214" s="1184"/>
      <c r="BV214" s="1184"/>
      <c r="BW214" s="1184"/>
      <c r="BX214" s="1184"/>
      <c r="BY214" s="1184"/>
      <c r="BZ214" s="208"/>
      <c r="CA214" s="208"/>
      <c r="CB214" s="208"/>
      <c r="CC214" s="208"/>
      <c r="CD214" s="211"/>
    </row>
    <row r="215" ht="18" customHeight="1">
      <c r="A215" s="1234">
        <v>11</v>
      </c>
      <c r="B215" s="1236">
        <f>HLOOKUP($F$199,$M$204:$AP$236,12,-1)</f>
        <v>0.07000000000000001</v>
      </c>
      <c r="C215" s="1236"/>
      <c r="D215" s="1236"/>
      <c r="E215" s="1217"/>
      <c r="F215" s="1233">
        <f>B215*$F$198</f>
        <v>0</v>
      </c>
      <c r="G215" s="1217"/>
      <c r="H215" s="1217"/>
      <c r="I215" s="1217"/>
      <c r="J215" s="1217"/>
      <c r="K215" s="1233">
        <f>ROUND($B215*$K$20,0)</f>
        <v>0</v>
      </c>
      <c r="L215" s="1220"/>
      <c r="M215" s="1216"/>
      <c r="N215" s="1217"/>
      <c r="O215" s="1217"/>
      <c r="P215" s="1217"/>
      <c r="Q215" s="1239"/>
      <c r="R215" s="1239"/>
      <c r="S215" s="1239"/>
      <c r="T215" s="1239"/>
      <c r="U215" s="1239"/>
      <c r="V215" s="1239"/>
      <c r="W215" s="1239"/>
      <c r="X215" s="1239">
        <v>0.06</v>
      </c>
      <c r="Y215" s="1239">
        <v>0.07000000000000001</v>
      </c>
      <c r="Z215" s="1239">
        <v>0.07000000000000001</v>
      </c>
      <c r="AA215" s="1239">
        <v>0.07000000000000001</v>
      </c>
      <c r="AB215" s="1239">
        <v>0.07000000000000001</v>
      </c>
      <c r="AC215" s="1239">
        <v>0.075</v>
      </c>
      <c r="AD215" s="1239">
        <v>0.07000000000000001</v>
      </c>
      <c r="AE215" s="1239">
        <v>0.06900000000000001</v>
      </c>
      <c r="AF215" s="1239">
        <v>0.06789468421052632</v>
      </c>
      <c r="AG215" s="1239">
        <v>0.06694473421052631</v>
      </c>
      <c r="AH215" s="1239">
        <v>0.0641351627819549</v>
      </c>
      <c r="AI215" s="1239">
        <v>0.06145334460013671</v>
      </c>
      <c r="AJ215" s="1239">
        <v>0.05588817068709324</v>
      </c>
      <c r="AK215" s="1239">
        <v>0.05042983735375989</v>
      </c>
      <c r="AL215" s="1239">
        <v>0.04602983735375988</v>
      </c>
      <c r="AM215" s="1239">
        <v>0.03468364504606759</v>
      </c>
      <c r="AN215" s="1239">
        <v>0.02738738578680833</v>
      </c>
      <c r="AO215" s="1239">
        <v>0.02013738578680831</v>
      </c>
      <c r="AP215" s="1239">
        <v>0.01493045475232556</v>
      </c>
      <c r="AQ215" s="1217"/>
      <c r="AR215" s="1217"/>
      <c r="AS215" s="1217"/>
      <c r="AT215" s="708"/>
      <c r="AU215" s="708"/>
      <c r="AV215" s="708"/>
      <c r="AW215" s="708"/>
      <c r="AX215" s="708"/>
      <c r="AY215" s="708"/>
      <c r="AZ215" s="708"/>
      <c r="BA215" s="208"/>
      <c r="BB215" s="208"/>
      <c r="BC215" s="208"/>
      <c r="BD215" s="208"/>
      <c r="BE215" s="208"/>
      <c r="BF215" s="208"/>
      <c r="BG215" s="1184"/>
      <c r="BH215" s="1184"/>
      <c r="BI215" s="1184"/>
      <c r="BJ215" s="1184"/>
      <c r="BK215" s="1184"/>
      <c r="BL215" s="1184"/>
      <c r="BM215" s="1184"/>
      <c r="BN215" s="1184"/>
      <c r="BO215" s="1184"/>
      <c r="BP215" s="1184"/>
      <c r="BQ215" s="1184"/>
      <c r="BR215" s="1184"/>
      <c r="BS215" s="1184"/>
      <c r="BT215" s="1184"/>
      <c r="BU215" s="1184"/>
      <c r="BV215" s="1184"/>
      <c r="BW215" s="1184"/>
      <c r="BX215" s="1184"/>
      <c r="BY215" s="1184"/>
      <c r="BZ215" s="208"/>
      <c r="CA215" s="208"/>
      <c r="CB215" s="208"/>
      <c r="CC215" s="208"/>
      <c r="CD215" s="211"/>
    </row>
    <row r="216" ht="18" customHeight="1">
      <c r="A216" s="1234">
        <v>12</v>
      </c>
      <c r="B216" s="1236">
        <f>HLOOKUP($F$199,$M$204:$AP$236,13,-1)</f>
        <v>0.09</v>
      </c>
      <c r="C216" s="1236"/>
      <c r="D216" s="1236"/>
      <c r="E216" s="1217"/>
      <c r="F216" s="1233">
        <f>B216*$F$198</f>
        <v>0</v>
      </c>
      <c r="G216" s="1217"/>
      <c r="H216" s="1217"/>
      <c r="I216" s="1217"/>
      <c r="J216" s="1217"/>
      <c r="K216" s="1233">
        <f>ROUND($B216*$K$20,0)</f>
        <v>0</v>
      </c>
      <c r="L216" s="1220"/>
      <c r="M216" s="1216"/>
      <c r="N216" s="1217"/>
      <c r="O216" s="1217"/>
      <c r="P216" s="1217"/>
      <c r="Q216" s="1239"/>
      <c r="R216" s="1239"/>
      <c r="S216" s="1239"/>
      <c r="T216" s="1239"/>
      <c r="U216" s="1239"/>
      <c r="V216" s="1239"/>
      <c r="W216" s="1239"/>
      <c r="X216" s="1239"/>
      <c r="Y216" s="1239">
        <v>0.09</v>
      </c>
      <c r="Z216" s="1239">
        <v>0.055</v>
      </c>
      <c r="AA216" s="1239">
        <v>0.055</v>
      </c>
      <c r="AB216" s="1239">
        <v>0.065</v>
      </c>
      <c r="AC216" s="1239">
        <v>0.07000000000000001</v>
      </c>
      <c r="AD216" s="1239">
        <v>0.07000000000000001</v>
      </c>
      <c r="AE216" s="1239">
        <v>0.066</v>
      </c>
      <c r="AF216" s="1239">
        <v>0.06789468421052632</v>
      </c>
      <c r="AG216" s="1239">
        <v>0.06694473421052631</v>
      </c>
      <c r="AH216" s="1239">
        <v>0.0661351627819549</v>
      </c>
      <c r="AI216" s="1239">
        <v>0.06345334460013671</v>
      </c>
      <c r="AJ216" s="1239">
        <v>0.06088817068709324</v>
      </c>
      <c r="AK216" s="1239">
        <v>0.05542983735375989</v>
      </c>
      <c r="AL216" s="1239">
        <v>0.05002983735375988</v>
      </c>
      <c r="AM216" s="1239">
        <v>0.04568364504606758</v>
      </c>
      <c r="AN216" s="1239">
        <v>0.03438738578680833</v>
      </c>
      <c r="AO216" s="1239">
        <v>0.02713738578680832</v>
      </c>
      <c r="AP216" s="1239">
        <v>0.01993045475232556</v>
      </c>
      <c r="AQ216" s="1217"/>
      <c r="AR216" s="1217"/>
      <c r="AS216" s="1217"/>
      <c r="AT216" s="708"/>
      <c r="AU216" s="708"/>
      <c r="AV216" s="708"/>
      <c r="AW216" s="708"/>
      <c r="AX216" s="708"/>
      <c r="AY216" s="708"/>
      <c r="AZ216" s="708"/>
      <c r="BA216" s="208"/>
      <c r="BB216" s="208"/>
      <c r="BC216" s="208"/>
      <c r="BD216" s="208"/>
      <c r="BE216" s="208"/>
      <c r="BF216" s="208"/>
      <c r="BG216" s="1184"/>
      <c r="BH216" s="1184"/>
      <c r="BI216" s="1184"/>
      <c r="BJ216" s="1184"/>
      <c r="BK216" s="1184"/>
      <c r="BL216" s="1184"/>
      <c r="BM216" s="1184"/>
      <c r="BN216" s="1184"/>
      <c r="BO216" s="1184"/>
      <c r="BP216" s="1184"/>
      <c r="BQ216" s="1184"/>
      <c r="BR216" s="1184"/>
      <c r="BS216" s="1184"/>
      <c r="BT216" s="1184"/>
      <c r="BU216" s="1184"/>
      <c r="BV216" s="1184"/>
      <c r="BW216" s="1184"/>
      <c r="BX216" s="1184"/>
      <c r="BY216" s="1184"/>
      <c r="BZ216" s="208"/>
      <c r="CA216" s="208"/>
      <c r="CB216" s="208"/>
      <c r="CC216" s="208"/>
      <c r="CD216" s="211"/>
    </row>
    <row r="217" ht="18" customHeight="1">
      <c r="A217" s="1234">
        <v>13</v>
      </c>
      <c r="B217" s="1236">
        <f>HLOOKUP($F$199,$M$204:$AP$236,14,-1)</f>
        <v>0</v>
      </c>
      <c r="C217" s="1236"/>
      <c r="D217" s="1236"/>
      <c r="E217" s="1217"/>
      <c r="F217" s="1233">
        <f>B217*$F$198</f>
        <v>0</v>
      </c>
      <c r="G217" s="1217"/>
      <c r="H217" s="1217"/>
      <c r="I217" s="1217"/>
      <c r="J217" s="1217"/>
      <c r="K217" s="1233">
        <f>ROUND($B217*$K$20,0)</f>
        <v>0</v>
      </c>
      <c r="L217" s="1220"/>
      <c r="M217" s="1216"/>
      <c r="N217" s="1217"/>
      <c r="O217" s="1217"/>
      <c r="P217" s="1217"/>
      <c r="Q217" s="1239"/>
      <c r="R217" s="1239"/>
      <c r="S217" s="1239"/>
      <c r="T217" s="1239"/>
      <c r="U217" s="1239"/>
      <c r="V217" s="1239"/>
      <c r="W217" s="1239"/>
      <c r="X217" s="1239"/>
      <c r="Y217" s="1239"/>
      <c r="Z217" s="1239">
        <v>0.08500000000000001</v>
      </c>
      <c r="AA217" s="1239">
        <v>0.05</v>
      </c>
      <c r="AB217" s="1239">
        <v>0.06</v>
      </c>
      <c r="AC217" s="1239">
        <v>0.065</v>
      </c>
      <c r="AD217" s="1239">
        <v>0.06</v>
      </c>
      <c r="AE217" s="1239">
        <v>0.061</v>
      </c>
      <c r="AF217" s="1239">
        <v>0.06489468421052631</v>
      </c>
      <c r="AG217" s="1239">
        <v>0.06694473421052631</v>
      </c>
      <c r="AH217" s="1239">
        <v>0.0661351627819549</v>
      </c>
      <c r="AI217" s="1239">
        <v>0.06545334460013671</v>
      </c>
      <c r="AJ217" s="1239">
        <v>0.06288817068709325</v>
      </c>
      <c r="AK217" s="1239">
        <v>0.0604298373537599</v>
      </c>
      <c r="AL217" s="1239">
        <v>0.05502983735375988</v>
      </c>
      <c r="AM217" s="1239">
        <v>0.04968364504606759</v>
      </c>
      <c r="AN217" s="1239">
        <v>0.04538738578680832</v>
      </c>
      <c r="AO217" s="1239">
        <v>0.03413738578680832</v>
      </c>
      <c r="AP217" s="1239">
        <v>0.02693045475232557</v>
      </c>
      <c r="AQ217" s="1217"/>
      <c r="AR217" s="1217"/>
      <c r="AS217" s="1217"/>
      <c r="AT217" s="708"/>
      <c r="AU217" s="708"/>
      <c r="AV217" s="708"/>
      <c r="AW217" s="708"/>
      <c r="AX217" s="708"/>
      <c r="AY217" s="708"/>
      <c r="AZ217" s="708"/>
      <c r="BA217" s="208"/>
      <c r="BB217" s="208"/>
      <c r="BC217" s="208"/>
      <c r="BD217" s="208"/>
      <c r="BE217" s="208"/>
      <c r="BF217" s="208"/>
      <c r="BG217" s="1184"/>
      <c r="BH217" s="1184"/>
      <c r="BI217" s="1184"/>
      <c r="BJ217" s="1184"/>
      <c r="BK217" s="1184"/>
      <c r="BL217" s="1184"/>
      <c r="BM217" s="1184"/>
      <c r="BN217" s="1184"/>
      <c r="BO217" s="1184"/>
      <c r="BP217" s="1184"/>
      <c r="BQ217" s="1184"/>
      <c r="BR217" s="1184"/>
      <c r="BS217" s="1184"/>
      <c r="BT217" s="1184"/>
      <c r="BU217" s="1184"/>
      <c r="BV217" s="1184"/>
      <c r="BW217" s="1184"/>
      <c r="BX217" s="1184"/>
      <c r="BY217" s="1184"/>
      <c r="BZ217" s="208"/>
      <c r="CA217" s="208"/>
      <c r="CB217" s="208"/>
      <c r="CC217" s="208"/>
      <c r="CD217" s="211"/>
    </row>
    <row r="218" ht="18" customHeight="1">
      <c r="A218" s="1234">
        <v>14</v>
      </c>
      <c r="B218" s="1236">
        <f>HLOOKUP($F$199,$M$204:$AP$236,15,-1)</f>
        <v>0</v>
      </c>
      <c r="C218" s="1217"/>
      <c r="D218" s="1217"/>
      <c r="E218" s="1217"/>
      <c r="F218" s="1233">
        <f>B218*$F$198</f>
        <v>0</v>
      </c>
      <c r="G218" s="1217"/>
      <c r="H218" s="1217"/>
      <c r="I218" s="1217"/>
      <c r="J218" s="1217"/>
      <c r="K218" s="1233">
        <f>ROUND($B218*$K$20,0)</f>
        <v>0</v>
      </c>
      <c r="L218" s="1220"/>
      <c r="M218" s="1216"/>
      <c r="N218" s="1217"/>
      <c r="O218" s="1217"/>
      <c r="P218" s="1217"/>
      <c r="Q218" s="1239"/>
      <c r="R218" s="1239"/>
      <c r="S218" s="1239"/>
      <c r="T218" s="1239"/>
      <c r="U218" s="1239"/>
      <c r="V218" s="1239"/>
      <c r="W218" s="1239"/>
      <c r="X218" s="1239"/>
      <c r="Y218" s="1239"/>
      <c r="Z218" s="1239"/>
      <c r="AA218" s="1239">
        <v>0.045</v>
      </c>
      <c r="AB218" s="1239">
        <v>0.035</v>
      </c>
      <c r="AC218" s="1239">
        <v>0.06</v>
      </c>
      <c r="AD218" s="1239">
        <v>0.06</v>
      </c>
      <c r="AE218" s="1239">
        <v>0.057</v>
      </c>
      <c r="AF218" s="1239">
        <v>0.05989468421052631</v>
      </c>
      <c r="AG218" s="1239">
        <v>0.06394473421052631</v>
      </c>
      <c r="AH218" s="1239">
        <v>0.0661351627819549</v>
      </c>
      <c r="AI218" s="1239">
        <v>0.06545334460013671</v>
      </c>
      <c r="AJ218" s="1239">
        <v>0.06488817068709325</v>
      </c>
      <c r="AK218" s="1239">
        <v>0.06242983735375991</v>
      </c>
      <c r="AL218" s="1239">
        <v>0.06002983735375989</v>
      </c>
      <c r="AM218" s="1239">
        <v>0.05468364504606758</v>
      </c>
      <c r="AN218" s="1239">
        <v>0.04938738578680833</v>
      </c>
      <c r="AO218" s="1239">
        <v>0.04513738578680832</v>
      </c>
      <c r="AP218" s="1239">
        <v>0.03393045475232557</v>
      </c>
      <c r="AQ218" s="1217"/>
      <c r="AR218" s="1217"/>
      <c r="AS218" s="1217"/>
      <c r="AT218" s="708"/>
      <c r="AU218" s="708"/>
      <c r="AV218" s="708"/>
      <c r="AW218" s="708"/>
      <c r="AX218" s="708"/>
      <c r="AY218" s="708"/>
      <c r="AZ218" s="708"/>
      <c r="BA218" s="208"/>
      <c r="BB218" s="208"/>
      <c r="BC218" s="208"/>
      <c r="BD218" s="208"/>
      <c r="BE218" s="208"/>
      <c r="BF218" s="208"/>
      <c r="BG218" s="1184"/>
      <c r="BH218" s="1184"/>
      <c r="BI218" s="1184"/>
      <c r="BJ218" s="1184"/>
      <c r="BK218" s="1184"/>
      <c r="BL218" s="1184"/>
      <c r="BM218" s="1184"/>
      <c r="BN218" s="1184"/>
      <c r="BO218" s="1184"/>
      <c r="BP218" s="1184"/>
      <c r="BQ218" s="1184"/>
      <c r="BR218" s="1184"/>
      <c r="BS218" s="1184"/>
      <c r="BT218" s="1184"/>
      <c r="BU218" s="1184"/>
      <c r="BV218" s="1184"/>
      <c r="BW218" s="1184"/>
      <c r="BX218" s="1184"/>
      <c r="BY218" s="1184"/>
      <c r="BZ218" s="208"/>
      <c r="CA218" s="208"/>
      <c r="CB218" s="208"/>
      <c r="CC218" s="208"/>
      <c r="CD218" s="211"/>
    </row>
    <row r="219" ht="18" customHeight="1">
      <c r="A219" s="1234">
        <v>15</v>
      </c>
      <c r="B219" s="1236">
        <f>HLOOKUP($F$199,$M$204:$AP$236,16,-1)</f>
        <v>0</v>
      </c>
      <c r="C219" s="1217"/>
      <c r="D219" s="1217"/>
      <c r="E219" s="1217"/>
      <c r="F219" s="1233">
        <f>B219*$F$198</f>
        <v>0</v>
      </c>
      <c r="G219" s="1217"/>
      <c r="H219" s="1217"/>
      <c r="I219" s="1217"/>
      <c r="J219" s="1217"/>
      <c r="K219" s="1233">
        <f>ROUND($B219*$K$20,0)</f>
        <v>0</v>
      </c>
      <c r="L219" s="1220"/>
      <c r="M219" s="1216"/>
      <c r="N219" s="1217"/>
      <c r="O219" s="1217"/>
      <c r="P219" s="1217"/>
      <c r="Q219" s="1239"/>
      <c r="R219" s="1239"/>
      <c r="S219" s="1239"/>
      <c r="T219" s="1239"/>
      <c r="U219" s="1239"/>
      <c r="V219" s="1239"/>
      <c r="W219" s="1239"/>
      <c r="X219" s="1239"/>
      <c r="Y219" s="1239"/>
      <c r="Z219" s="1239"/>
      <c r="AA219" s="1239"/>
      <c r="AB219" s="1239">
        <v>0.02</v>
      </c>
      <c r="AC219" s="1239">
        <v>0.06</v>
      </c>
      <c r="AD219" s="1239">
        <v>0.055</v>
      </c>
      <c r="AE219" s="1239">
        <v>0.053</v>
      </c>
      <c r="AF219" s="1239">
        <v>0.05589468421052631</v>
      </c>
      <c r="AG219" s="1239">
        <v>0.0589447342105263</v>
      </c>
      <c r="AH219" s="1239">
        <v>0.0631351627819549</v>
      </c>
      <c r="AI219" s="1239">
        <v>0.06545334460013671</v>
      </c>
      <c r="AJ219" s="1239">
        <v>0.06488817068709325</v>
      </c>
      <c r="AK219" s="1239">
        <v>0.06442983735375991</v>
      </c>
      <c r="AL219" s="1239">
        <v>0.06202983735375989</v>
      </c>
      <c r="AM219" s="1239">
        <v>0.05968364504606759</v>
      </c>
      <c r="AN219" s="1239">
        <v>0.05438738578680832</v>
      </c>
      <c r="AO219" s="1239">
        <v>0.04913738578680832</v>
      </c>
      <c r="AP219" s="1239">
        <v>0.04493045475232556</v>
      </c>
      <c r="AQ219" s="1217"/>
      <c r="AR219" s="1217"/>
      <c r="AS219" s="1217"/>
      <c r="AT219" s="708"/>
      <c r="AU219" s="708"/>
      <c r="AV219" s="708"/>
      <c r="AW219" s="708"/>
      <c r="AX219" s="708"/>
      <c r="AY219" s="708"/>
      <c r="AZ219" s="708"/>
      <c r="BA219" s="208"/>
      <c r="BB219" s="208"/>
      <c r="BC219" s="208"/>
      <c r="BD219" s="208"/>
      <c r="BE219" s="208"/>
      <c r="BF219" s="208"/>
      <c r="BG219" s="1184"/>
      <c r="BH219" s="1184"/>
      <c r="BI219" s="1184"/>
      <c r="BJ219" s="1184"/>
      <c r="BK219" s="1184"/>
      <c r="BL219" s="1184"/>
      <c r="BM219" s="1184"/>
      <c r="BN219" s="1184"/>
      <c r="BO219" s="1184"/>
      <c r="BP219" s="1184"/>
      <c r="BQ219" s="1184"/>
      <c r="BR219" s="1184"/>
      <c r="BS219" s="1184"/>
      <c r="BT219" s="1184"/>
      <c r="BU219" s="1184"/>
      <c r="BV219" s="1184"/>
      <c r="BW219" s="1184"/>
      <c r="BX219" s="1184"/>
      <c r="BY219" s="1184"/>
      <c r="BZ219" s="208"/>
      <c r="CA219" s="208"/>
      <c r="CB219" s="208"/>
      <c r="CC219" s="208"/>
      <c r="CD219" s="211"/>
    </row>
    <row r="220" ht="18" customHeight="1">
      <c r="A220" s="1234">
        <v>16</v>
      </c>
      <c r="B220" s="1236">
        <f>HLOOKUP($F$199,$M$204:$AP$236,17,-1)</f>
        <v>0</v>
      </c>
      <c r="C220" s="1217"/>
      <c r="D220" s="1217"/>
      <c r="E220" s="1217"/>
      <c r="F220" s="1233">
        <f>B220*$F$198</f>
        <v>0</v>
      </c>
      <c r="G220" s="1217"/>
      <c r="H220" s="1217"/>
      <c r="I220" s="1217"/>
      <c r="J220" s="1217"/>
      <c r="K220" s="1233">
        <f>ROUND($B220*$K$20,0)</f>
        <v>0</v>
      </c>
      <c r="L220" s="1220"/>
      <c r="M220" s="1216"/>
      <c r="N220" s="1217"/>
      <c r="O220" s="1217"/>
      <c r="P220" s="1217"/>
      <c r="Q220" s="1239"/>
      <c r="R220" s="1239"/>
      <c r="S220" s="1239"/>
      <c r="T220" s="1239"/>
      <c r="U220" s="1239"/>
      <c r="V220" s="1239"/>
      <c r="W220" s="1239"/>
      <c r="X220" s="1239"/>
      <c r="Y220" s="1239"/>
      <c r="Z220" s="1239"/>
      <c r="AA220" s="1239"/>
      <c r="AB220" s="1239"/>
      <c r="AC220" s="1239">
        <v>0.075</v>
      </c>
      <c r="AD220" s="1239">
        <v>0.05</v>
      </c>
      <c r="AE220" s="1239">
        <v>0.043</v>
      </c>
      <c r="AF220" s="1239">
        <v>0.05189468421052631</v>
      </c>
      <c r="AG220" s="1239">
        <v>0.05494473421052631</v>
      </c>
      <c r="AH220" s="1239">
        <v>0.0581351627819549</v>
      </c>
      <c r="AI220" s="1239">
        <v>0.06245334460013671</v>
      </c>
      <c r="AJ220" s="1239">
        <v>0.06488817068709325</v>
      </c>
      <c r="AK220" s="1239">
        <v>0.06442983735375991</v>
      </c>
      <c r="AL220" s="1239">
        <v>0.0640298373537599</v>
      </c>
      <c r="AM220" s="1239">
        <v>0.0616836450460676</v>
      </c>
      <c r="AN220" s="1239">
        <v>0.05938738578680833</v>
      </c>
      <c r="AO220" s="1239">
        <v>0.05413738578680832</v>
      </c>
      <c r="AP220" s="1239">
        <v>0.04893045475232557</v>
      </c>
      <c r="AQ220" s="1217"/>
      <c r="AR220" s="1217"/>
      <c r="AS220" s="1217"/>
      <c r="AT220" s="708"/>
      <c r="AU220" s="708"/>
      <c r="AV220" s="708"/>
      <c r="AW220" s="708"/>
      <c r="AX220" s="708"/>
      <c r="AY220" s="708"/>
      <c r="AZ220" s="708"/>
      <c r="BA220" s="208"/>
      <c r="BB220" s="208"/>
      <c r="BC220" s="208"/>
      <c r="BD220" s="208"/>
      <c r="BE220" s="208"/>
      <c r="BF220" s="208"/>
      <c r="BG220" s="1184"/>
      <c r="BH220" s="1184"/>
      <c r="BI220" s="1184"/>
      <c r="BJ220" s="1184"/>
      <c r="BK220" s="1184"/>
      <c r="BL220" s="1184"/>
      <c r="BM220" s="1184"/>
      <c r="BN220" s="1184"/>
      <c r="BO220" s="1184"/>
      <c r="BP220" s="1184"/>
      <c r="BQ220" s="1184"/>
      <c r="BR220" s="1184"/>
      <c r="BS220" s="1184"/>
      <c r="BT220" s="1184"/>
      <c r="BU220" s="1184"/>
      <c r="BV220" s="1184"/>
      <c r="BW220" s="1184"/>
      <c r="BX220" s="1184"/>
      <c r="BY220" s="1184"/>
      <c r="BZ220" s="208"/>
      <c r="CA220" s="208"/>
      <c r="CB220" s="208"/>
      <c r="CC220" s="208"/>
      <c r="CD220" s="211"/>
    </row>
    <row r="221" ht="18" customHeight="1">
      <c r="A221" s="1234">
        <v>17</v>
      </c>
      <c r="B221" s="1236">
        <f>HLOOKUP($F$199,$M$204:$AP$236,18,-1)</f>
        <v>0</v>
      </c>
      <c r="C221" s="1217"/>
      <c r="D221" s="1217"/>
      <c r="E221" s="1217"/>
      <c r="F221" s="1233">
        <f>B221*$F$198</f>
        <v>0</v>
      </c>
      <c r="G221" s="1217"/>
      <c r="H221" s="1217"/>
      <c r="I221" s="1217"/>
      <c r="J221" s="1217"/>
      <c r="K221" s="1233">
        <f>ROUND($B221*$K$20,0)</f>
        <v>0</v>
      </c>
      <c r="L221" s="1220"/>
      <c r="M221" s="1216"/>
      <c r="N221" s="1217"/>
      <c r="O221" s="1217"/>
      <c r="P221" s="1217"/>
      <c r="Q221" s="1239"/>
      <c r="R221" s="1239"/>
      <c r="S221" s="1239"/>
      <c r="T221" s="1239"/>
      <c r="U221" s="1239"/>
      <c r="V221" s="1239"/>
      <c r="W221" s="1239"/>
      <c r="X221" s="1239"/>
      <c r="Y221" s="1239"/>
      <c r="Z221" s="1239"/>
      <c r="AA221" s="1239"/>
      <c r="AB221" s="1239"/>
      <c r="AC221" s="1239"/>
      <c r="AD221" s="1239">
        <v>0.075</v>
      </c>
      <c r="AE221" s="1239">
        <v>0.045</v>
      </c>
      <c r="AF221" s="1239">
        <v>0.04189468421052631</v>
      </c>
      <c r="AG221" s="1239">
        <v>0.0509447342105263</v>
      </c>
      <c r="AH221" s="1239">
        <v>0.0541351627819549</v>
      </c>
      <c r="AI221" s="1239">
        <v>0.05745334460013671</v>
      </c>
      <c r="AJ221" s="1239">
        <v>0.06188817068709324</v>
      </c>
      <c r="AK221" s="1239">
        <v>0.06442983735375991</v>
      </c>
      <c r="AL221" s="1239">
        <v>0.0640298373537599</v>
      </c>
      <c r="AM221" s="1239">
        <v>0.06368364504606761</v>
      </c>
      <c r="AN221" s="1239">
        <v>0.06138738578680834</v>
      </c>
      <c r="AO221" s="1239">
        <v>0.05913738578680832</v>
      </c>
      <c r="AP221" s="1239">
        <v>0.05393045475232557</v>
      </c>
      <c r="AQ221" s="1217"/>
      <c r="AR221" s="1217"/>
      <c r="AS221" s="1217"/>
      <c r="AT221" s="708"/>
      <c r="AU221" s="708"/>
      <c r="AV221" s="708"/>
      <c r="AW221" s="708"/>
      <c r="AX221" s="708"/>
      <c r="AY221" s="708"/>
      <c r="AZ221" s="708"/>
      <c r="BA221" s="208"/>
      <c r="BB221" s="208"/>
      <c r="BC221" s="208"/>
      <c r="BD221" s="208"/>
      <c r="BE221" s="208"/>
      <c r="BF221" s="208"/>
      <c r="BG221" s="1184"/>
      <c r="BH221" s="1184"/>
      <c r="BI221" s="1184"/>
      <c r="BJ221" s="1184"/>
      <c r="BK221" s="1184"/>
      <c r="BL221" s="1184"/>
      <c r="BM221" s="1184"/>
      <c r="BN221" s="1184"/>
      <c r="BO221" s="1184"/>
      <c r="BP221" s="1184"/>
      <c r="BQ221" s="1184"/>
      <c r="BR221" s="1184"/>
      <c r="BS221" s="1184"/>
      <c r="BT221" s="1184"/>
      <c r="BU221" s="1184"/>
      <c r="BV221" s="1184"/>
      <c r="BW221" s="1184"/>
      <c r="BX221" s="1184"/>
      <c r="BY221" s="1184"/>
      <c r="BZ221" s="208"/>
      <c r="CA221" s="208"/>
      <c r="CB221" s="208"/>
      <c r="CC221" s="208"/>
      <c r="CD221" s="211"/>
    </row>
    <row r="222" ht="18" customHeight="1">
      <c r="A222" s="1234">
        <v>18</v>
      </c>
      <c r="B222" s="1236">
        <f>HLOOKUP($F$199,$M$204:$AP$236,19,-1)</f>
        <v>0</v>
      </c>
      <c r="C222" s="1217"/>
      <c r="D222" s="1217"/>
      <c r="E222" s="1217"/>
      <c r="F222" s="1233">
        <f>B222*$F$198</f>
        <v>0</v>
      </c>
      <c r="G222" s="1217"/>
      <c r="H222" s="1217"/>
      <c r="I222" s="1217"/>
      <c r="J222" s="1217"/>
      <c r="K222" s="1233">
        <f>ROUND($B222*$K$20,0)</f>
        <v>0</v>
      </c>
      <c r="L222" s="1220"/>
      <c r="M222" s="1216"/>
      <c r="N222" s="1217"/>
      <c r="O222" s="1217"/>
      <c r="P222" s="1217"/>
      <c r="Q222" s="1239"/>
      <c r="R222" s="1239"/>
      <c r="S222" s="1239"/>
      <c r="T222" s="1239"/>
      <c r="U222" s="1239"/>
      <c r="V222" s="1239"/>
      <c r="W222" s="1239"/>
      <c r="X222" s="1239"/>
      <c r="Y222" s="1239"/>
      <c r="Z222" s="1239"/>
      <c r="AA222" s="1239"/>
      <c r="AB222" s="1239"/>
      <c r="AC222" s="1239"/>
      <c r="AD222" s="1239"/>
      <c r="AE222" s="1239">
        <v>0.07099999999999999</v>
      </c>
      <c r="AF222" s="1239">
        <v>0.04389468421052631</v>
      </c>
      <c r="AG222" s="1239">
        <v>0.0409447342105263</v>
      </c>
      <c r="AH222" s="1239">
        <v>0.0501351627819549</v>
      </c>
      <c r="AI222" s="1239">
        <v>0.05345334460013671</v>
      </c>
      <c r="AJ222" s="1239">
        <v>0.05688817068709324</v>
      </c>
      <c r="AK222" s="1239">
        <v>0.06142983735375989</v>
      </c>
      <c r="AL222" s="1239">
        <v>0.0640298373537599</v>
      </c>
      <c r="AM222" s="1239">
        <v>0.06368364504606761</v>
      </c>
      <c r="AN222" s="1239">
        <v>0.06338738578680835</v>
      </c>
      <c r="AO222" s="1239">
        <v>0.06113738578680833</v>
      </c>
      <c r="AP222" s="1239">
        <v>0.05893045475232557</v>
      </c>
      <c r="AQ222" s="1217"/>
      <c r="AR222" s="1217"/>
      <c r="AS222" s="1217"/>
      <c r="AT222" s="708"/>
      <c r="AU222" s="708"/>
      <c r="AV222" s="708"/>
      <c r="AW222" s="708"/>
      <c r="AX222" s="708"/>
      <c r="AY222" s="708"/>
      <c r="AZ222" s="708"/>
      <c r="BA222" s="208"/>
      <c r="BB222" s="208"/>
      <c r="BC222" s="208"/>
      <c r="BD222" s="208"/>
      <c r="BE222" s="208"/>
      <c r="BF222" s="208"/>
      <c r="BG222" s="1184"/>
      <c r="BH222" s="1184"/>
      <c r="BI222" s="1184"/>
      <c r="BJ222" s="1184"/>
      <c r="BK222" s="1184"/>
      <c r="BL222" s="1184"/>
      <c r="BM222" s="1184"/>
      <c r="BN222" s="1184"/>
      <c r="BO222" s="1184"/>
      <c r="BP222" s="1184"/>
      <c r="BQ222" s="1184"/>
      <c r="BR222" s="1184"/>
      <c r="BS222" s="1184"/>
      <c r="BT222" s="1184"/>
      <c r="BU222" s="1184"/>
      <c r="BV222" s="1184"/>
      <c r="BW222" s="1184"/>
      <c r="BX222" s="1184"/>
      <c r="BY222" s="1184"/>
      <c r="BZ222" s="208"/>
      <c r="CA222" s="208"/>
      <c r="CB222" s="208"/>
      <c r="CC222" s="208"/>
      <c r="CD222" s="211"/>
    </row>
    <row r="223" ht="18" customHeight="1">
      <c r="A223" s="1234">
        <v>19</v>
      </c>
      <c r="B223" s="1236">
        <f>HLOOKUP($F$199,$M$204:$AP$236,20,-1)</f>
        <v>0</v>
      </c>
      <c r="C223" s="1217"/>
      <c r="D223" s="1217"/>
      <c r="E223" s="1217"/>
      <c r="F223" s="1233">
        <f>B223*$F$198</f>
        <v>0</v>
      </c>
      <c r="G223" s="1217"/>
      <c r="H223" s="1217"/>
      <c r="I223" s="1217"/>
      <c r="J223" s="1217"/>
      <c r="K223" s="1233">
        <f>ROUND($B223*$K$20,0)</f>
        <v>0</v>
      </c>
      <c r="L223" s="1220"/>
      <c r="M223" s="1216"/>
      <c r="N223" s="1217"/>
      <c r="O223" s="1217"/>
      <c r="P223" s="1217"/>
      <c r="Q223" s="1239"/>
      <c r="R223" s="1239"/>
      <c r="S223" s="1239"/>
      <c r="T223" s="1239"/>
      <c r="U223" s="1239"/>
      <c r="V223" s="1239"/>
      <c r="W223" s="1239"/>
      <c r="X223" s="1239"/>
      <c r="Y223" s="1239"/>
      <c r="Z223" s="1239"/>
      <c r="AA223" s="1239"/>
      <c r="AB223" s="1239"/>
      <c r="AC223" s="1239"/>
      <c r="AD223" s="1239"/>
      <c r="AE223" s="1239"/>
      <c r="AF223" s="1239">
        <v>0.0698946842105263</v>
      </c>
      <c r="AG223" s="1239">
        <v>0.0429447342105263</v>
      </c>
      <c r="AH223" s="1239">
        <v>0.0401351627819549</v>
      </c>
      <c r="AI223" s="1239">
        <v>0.04945334460013671</v>
      </c>
      <c r="AJ223" s="1239">
        <v>0.05288817068709324</v>
      </c>
      <c r="AK223" s="1239">
        <v>0.05642983735375989</v>
      </c>
      <c r="AL223" s="1239">
        <v>0.06102983735375988</v>
      </c>
      <c r="AM223" s="1239">
        <v>0.06368364504606761</v>
      </c>
      <c r="AN223" s="1239">
        <v>0.06338738578680835</v>
      </c>
      <c r="AO223" s="1239">
        <v>0.06313738578680833</v>
      </c>
      <c r="AP223" s="1239">
        <v>0.06093045475232558</v>
      </c>
      <c r="AQ223" s="1217"/>
      <c r="AR223" s="1217"/>
      <c r="AS223" s="1217"/>
      <c r="AT223" s="708"/>
      <c r="AU223" s="708"/>
      <c r="AV223" s="708"/>
      <c r="AW223" s="708"/>
      <c r="AX223" s="708"/>
      <c r="AY223" s="708"/>
      <c r="AZ223" s="708"/>
      <c r="BA223" s="208"/>
      <c r="BB223" s="208"/>
      <c r="BC223" s="208"/>
      <c r="BD223" s="208"/>
      <c r="BE223" s="208"/>
      <c r="BF223" s="208"/>
      <c r="BG223" s="1184"/>
      <c r="BH223" s="1184"/>
      <c r="BI223" s="1184"/>
      <c r="BJ223" s="1184"/>
      <c r="BK223" s="1184"/>
      <c r="BL223" s="1184"/>
      <c r="BM223" s="1184"/>
      <c r="BN223" s="1184"/>
      <c r="BO223" s="1184"/>
      <c r="BP223" s="1184"/>
      <c r="BQ223" s="1184"/>
      <c r="BR223" s="1184"/>
      <c r="BS223" s="1184"/>
      <c r="BT223" s="1184"/>
      <c r="BU223" s="1184"/>
      <c r="BV223" s="1184"/>
      <c r="BW223" s="1184"/>
      <c r="BX223" s="1184"/>
      <c r="BY223" s="1184"/>
      <c r="BZ223" s="208"/>
      <c r="CA223" s="208"/>
      <c r="CB223" s="208"/>
      <c r="CC223" s="208"/>
      <c r="CD223" s="211"/>
    </row>
    <row r="224" ht="18" customHeight="1">
      <c r="A224" s="1234">
        <v>20</v>
      </c>
      <c r="B224" s="1236">
        <f>HLOOKUP($F$199,$M$204:$AP$236,21,-1)</f>
        <v>0</v>
      </c>
      <c r="C224" s="1217"/>
      <c r="D224" s="1217"/>
      <c r="E224" s="1217"/>
      <c r="F224" s="1233">
        <f>B224*$F$198</f>
        <v>0</v>
      </c>
      <c r="G224" s="1217"/>
      <c r="H224" s="1217"/>
      <c r="I224" s="1217"/>
      <c r="J224" s="1217"/>
      <c r="K224" s="1233">
        <f>ROUND($B224*$K$20,0)</f>
        <v>0</v>
      </c>
      <c r="L224" s="1220"/>
      <c r="M224" s="1216"/>
      <c r="N224" s="1217"/>
      <c r="O224" s="1217"/>
      <c r="P224" s="1217"/>
      <c r="Q224" s="1239"/>
      <c r="R224" s="1239"/>
      <c r="S224" s="1239"/>
      <c r="T224" s="1239"/>
      <c r="U224" s="1239"/>
      <c r="V224" s="1239"/>
      <c r="W224" s="1239"/>
      <c r="X224" s="1239"/>
      <c r="Y224" s="1239"/>
      <c r="Z224" s="1239"/>
      <c r="AA224" s="1239"/>
      <c r="AB224" s="1239"/>
      <c r="AC224" s="1239"/>
      <c r="AD224" s="1239"/>
      <c r="AE224" s="1239"/>
      <c r="AF224" s="1217"/>
      <c r="AG224" s="1239">
        <v>0.0689447342105263</v>
      </c>
      <c r="AH224" s="1239">
        <v>0.0421351627819549</v>
      </c>
      <c r="AI224" s="1239">
        <v>0.03945334460013671</v>
      </c>
      <c r="AJ224" s="1239">
        <v>0.04888817068709324</v>
      </c>
      <c r="AK224" s="1239">
        <v>0.0524298373537599</v>
      </c>
      <c r="AL224" s="1239">
        <v>0.05602983735375988</v>
      </c>
      <c r="AM224" s="1239">
        <v>0.06068364504606758</v>
      </c>
      <c r="AN224" s="1239">
        <v>0.06338738578680835</v>
      </c>
      <c r="AO224" s="1239">
        <v>0.06313738578680833</v>
      </c>
      <c r="AP224" s="1239">
        <v>0.06293045475232557</v>
      </c>
      <c r="AQ224" s="1217"/>
      <c r="AR224" s="1217"/>
      <c r="AS224" s="1217"/>
      <c r="AT224" s="708"/>
      <c r="AU224" s="708"/>
      <c r="AV224" s="708"/>
      <c r="AW224" s="708"/>
      <c r="AX224" s="708"/>
      <c r="AY224" s="708"/>
      <c r="AZ224" s="708"/>
      <c r="BA224" s="208"/>
      <c r="BB224" s="208"/>
      <c r="BC224" s="208"/>
      <c r="BD224" s="208"/>
      <c r="BE224" s="208"/>
      <c r="BF224" s="208"/>
      <c r="BG224" s="1184"/>
      <c r="BH224" s="1184"/>
      <c r="BI224" s="1184"/>
      <c r="BJ224" s="1184"/>
      <c r="BK224" s="1184"/>
      <c r="BL224" s="1184"/>
      <c r="BM224" s="1184"/>
      <c r="BN224" s="1184"/>
      <c r="BO224" s="1184"/>
      <c r="BP224" s="1184"/>
      <c r="BQ224" s="1184"/>
      <c r="BR224" s="1184"/>
      <c r="BS224" s="1184"/>
      <c r="BT224" s="1184"/>
      <c r="BU224" s="1184"/>
      <c r="BV224" s="1184"/>
      <c r="BW224" s="1184"/>
      <c r="BX224" s="1184"/>
      <c r="BY224" s="1184"/>
      <c r="BZ224" s="208"/>
      <c r="CA224" s="208"/>
      <c r="CB224" s="208"/>
      <c r="CC224" s="208"/>
      <c r="CD224" s="211"/>
    </row>
    <row r="225" ht="18" customHeight="1">
      <c r="A225" s="1234">
        <v>21</v>
      </c>
      <c r="B225" s="1236">
        <f>HLOOKUP($F$199,$M$204:$AP$236,22,-1)</f>
        <v>0</v>
      </c>
      <c r="C225" s="1217"/>
      <c r="D225" s="1217"/>
      <c r="E225" s="1217"/>
      <c r="F225" s="1233">
        <f>B225*$F$198</f>
        <v>0</v>
      </c>
      <c r="G225" s="1217"/>
      <c r="H225" s="1217"/>
      <c r="I225" s="1217"/>
      <c r="J225" s="1217"/>
      <c r="K225" s="1233">
        <f>ROUND($B225*$K$20,0)</f>
        <v>0</v>
      </c>
      <c r="L225" s="1220"/>
      <c r="M225" s="1216"/>
      <c r="N225" s="1217"/>
      <c r="O225" s="1217"/>
      <c r="P225" s="1217"/>
      <c r="Q225" s="1239"/>
      <c r="R225" s="1239"/>
      <c r="S225" s="1239"/>
      <c r="T225" s="1239"/>
      <c r="U225" s="1239"/>
      <c r="V225" s="1239"/>
      <c r="W225" s="1239"/>
      <c r="X225" s="1239"/>
      <c r="Y225" s="1239"/>
      <c r="Z225" s="1239"/>
      <c r="AA225" s="1239"/>
      <c r="AB225" s="1239"/>
      <c r="AC225" s="1239"/>
      <c r="AD225" s="1239"/>
      <c r="AE225" s="1239"/>
      <c r="AF225" s="1217"/>
      <c r="AG225" s="1217"/>
      <c r="AH225" s="1239">
        <v>0.06813516278195489</v>
      </c>
      <c r="AI225" s="1239">
        <v>0.04145334460013671</v>
      </c>
      <c r="AJ225" s="1239">
        <v>0.03888817068709324</v>
      </c>
      <c r="AK225" s="1239">
        <v>0.04842983735375989</v>
      </c>
      <c r="AL225" s="1239">
        <v>0.05202983735375988</v>
      </c>
      <c r="AM225" s="1239">
        <v>0.05568364504606758</v>
      </c>
      <c r="AN225" s="1239">
        <v>0.06038738578680832</v>
      </c>
      <c r="AO225" s="1239">
        <v>0.06313738578680833</v>
      </c>
      <c r="AP225" s="1239">
        <v>0.06293045475232557</v>
      </c>
      <c r="AQ225" s="1217"/>
      <c r="AR225" s="1217"/>
      <c r="AS225" s="1217"/>
      <c r="AT225" s="708"/>
      <c r="AU225" s="708"/>
      <c r="AV225" s="708"/>
      <c r="AW225" s="708"/>
      <c r="AX225" s="708"/>
      <c r="AY225" s="708"/>
      <c r="AZ225" s="708"/>
      <c r="BA225" s="208"/>
      <c r="BB225" s="208"/>
      <c r="BC225" s="208"/>
      <c r="BD225" s="208"/>
      <c r="BE225" s="208"/>
      <c r="BF225" s="208"/>
      <c r="BG225" s="1184"/>
      <c r="BH225" s="1184"/>
      <c r="BI225" s="1184"/>
      <c r="BJ225" s="1184"/>
      <c r="BK225" s="1184"/>
      <c r="BL225" s="1184"/>
      <c r="BM225" s="1184"/>
      <c r="BN225" s="1184"/>
      <c r="BO225" s="1184"/>
      <c r="BP225" s="1184"/>
      <c r="BQ225" s="1184"/>
      <c r="BR225" s="1184"/>
      <c r="BS225" s="1184"/>
      <c r="BT225" s="1184"/>
      <c r="BU225" s="1184"/>
      <c r="BV225" s="1184"/>
      <c r="BW225" s="1184"/>
      <c r="BX225" s="1184"/>
      <c r="BY225" s="1184"/>
      <c r="BZ225" s="208"/>
      <c r="CA225" s="208"/>
      <c r="CB225" s="208"/>
      <c r="CC225" s="208"/>
      <c r="CD225" s="211"/>
    </row>
    <row r="226" ht="18" customHeight="1">
      <c r="A226" s="1234">
        <v>22</v>
      </c>
      <c r="B226" s="1236">
        <f>HLOOKUP($F$199,$M$204:$AP$236,23,-1)</f>
        <v>0</v>
      </c>
      <c r="C226" s="1217"/>
      <c r="D226" s="1217"/>
      <c r="E226" s="1217"/>
      <c r="F226" s="1233">
        <f>B226*$F$198</f>
        <v>0</v>
      </c>
      <c r="G226" s="1217"/>
      <c r="H226" s="1217"/>
      <c r="I226" s="1217"/>
      <c r="J226" s="1217"/>
      <c r="K226" s="1233">
        <f>ROUND($B226*$K$20,0)</f>
        <v>0</v>
      </c>
      <c r="L226" s="1220"/>
      <c r="M226" s="1216"/>
      <c r="N226" s="1217"/>
      <c r="O226" s="1217"/>
      <c r="P226" s="1217"/>
      <c r="Q226" s="1239"/>
      <c r="R226" s="1239"/>
      <c r="S226" s="1239"/>
      <c r="T226" s="1239"/>
      <c r="U226" s="1239"/>
      <c r="V226" s="1239"/>
      <c r="W226" s="1239"/>
      <c r="X226" s="1239"/>
      <c r="Y226" s="1239"/>
      <c r="Z226" s="1239"/>
      <c r="AA226" s="1239"/>
      <c r="AB226" s="1239"/>
      <c r="AC226" s="1239"/>
      <c r="AD226" s="1239"/>
      <c r="AE226" s="1239"/>
      <c r="AF226" s="1217"/>
      <c r="AG226" s="1217"/>
      <c r="AH226" s="1239"/>
      <c r="AI226" s="1239">
        <v>0.0674533446001367</v>
      </c>
      <c r="AJ226" s="1239">
        <v>0.04088817068709324</v>
      </c>
      <c r="AK226" s="1239">
        <v>0.03842983735375989</v>
      </c>
      <c r="AL226" s="1239">
        <v>0.04802983735375988</v>
      </c>
      <c r="AM226" s="1239">
        <v>0.05168364504606759</v>
      </c>
      <c r="AN226" s="1239">
        <v>0.05538738578680832</v>
      </c>
      <c r="AO226" s="1239">
        <v>0.06013738578680831</v>
      </c>
      <c r="AP226" s="1239">
        <v>0.06293045475232557</v>
      </c>
      <c r="AQ226" s="1217"/>
      <c r="AR226" s="1217"/>
      <c r="AS226" s="1217"/>
      <c r="AT226" s="708"/>
      <c r="AU226" s="708"/>
      <c r="AV226" s="708"/>
      <c r="AW226" s="708"/>
      <c r="AX226" s="708"/>
      <c r="AY226" s="708"/>
      <c r="AZ226" s="708"/>
      <c r="BA226" s="208"/>
      <c r="BB226" s="208"/>
      <c r="BC226" s="208"/>
      <c r="BD226" s="208"/>
      <c r="BE226" s="208"/>
      <c r="BF226" s="208"/>
      <c r="BG226" s="1184"/>
      <c r="BH226" s="1184"/>
      <c r="BI226" s="1184"/>
      <c r="BJ226" s="1184"/>
      <c r="BK226" s="1184"/>
      <c r="BL226" s="1184"/>
      <c r="BM226" s="1184"/>
      <c r="BN226" s="1184"/>
      <c r="BO226" s="1184"/>
      <c r="BP226" s="1184"/>
      <c r="BQ226" s="1184"/>
      <c r="BR226" s="1184"/>
      <c r="BS226" s="1184"/>
      <c r="BT226" s="1184"/>
      <c r="BU226" s="1184"/>
      <c r="BV226" s="1184"/>
      <c r="BW226" s="1184"/>
      <c r="BX226" s="1184"/>
      <c r="BY226" s="1184"/>
      <c r="BZ226" s="208"/>
      <c r="CA226" s="208"/>
      <c r="CB226" s="208"/>
      <c r="CC226" s="208"/>
      <c r="CD226" s="211"/>
    </row>
    <row r="227" ht="18" customHeight="1">
      <c r="A227" s="1234">
        <v>23</v>
      </c>
      <c r="B227" s="1236">
        <f>HLOOKUP($F$199,$M$204:$AP$236,24,-1)</f>
        <v>0</v>
      </c>
      <c r="C227" s="1217"/>
      <c r="D227" s="1217"/>
      <c r="E227" s="1217"/>
      <c r="F227" s="1233">
        <f>B227*$F$198</f>
        <v>0</v>
      </c>
      <c r="G227" s="1217"/>
      <c r="H227" s="1217"/>
      <c r="I227" s="1217"/>
      <c r="J227" s="1217"/>
      <c r="K227" s="1233">
        <f>ROUND($B227*$K$20,0)</f>
        <v>0</v>
      </c>
      <c r="L227" s="1220"/>
      <c r="M227" s="1216"/>
      <c r="N227" s="1217"/>
      <c r="O227" s="1217"/>
      <c r="P227" s="1217"/>
      <c r="Q227" s="1239"/>
      <c r="R227" s="1239"/>
      <c r="S227" s="1239"/>
      <c r="T227" s="1239"/>
      <c r="U227" s="1239"/>
      <c r="V227" s="1239"/>
      <c r="W227" s="1239"/>
      <c r="X227" s="1239"/>
      <c r="Y227" s="1239"/>
      <c r="Z227" s="1239"/>
      <c r="AA227" s="1239"/>
      <c r="AB227" s="1239"/>
      <c r="AC227" s="1239"/>
      <c r="AD227" s="1239"/>
      <c r="AE227" s="1239"/>
      <c r="AF227" s="1217"/>
      <c r="AG227" s="1217"/>
      <c r="AH227" s="1239"/>
      <c r="AI227" s="1239"/>
      <c r="AJ227" s="1239">
        <v>0.06688817068709324</v>
      </c>
      <c r="AK227" s="1239">
        <v>0.04042983735375989</v>
      </c>
      <c r="AL227" s="1239">
        <v>0.03802983735375988</v>
      </c>
      <c r="AM227" s="1239">
        <v>0.04768364504606758</v>
      </c>
      <c r="AN227" s="1239">
        <v>0.05138738578680833</v>
      </c>
      <c r="AO227" s="1239">
        <v>0.05513738578680832</v>
      </c>
      <c r="AP227" s="1239">
        <v>0.05993045475232556</v>
      </c>
      <c r="AQ227" s="1217"/>
      <c r="AR227" s="1217"/>
      <c r="AS227" s="1217"/>
      <c r="AT227" s="708"/>
      <c r="AU227" s="708"/>
      <c r="AV227" s="708"/>
      <c r="AW227" s="708"/>
      <c r="AX227" s="708"/>
      <c r="AY227" s="708"/>
      <c r="AZ227" s="708"/>
      <c r="BA227" s="208"/>
      <c r="BB227" s="208"/>
      <c r="BC227" s="208"/>
      <c r="BD227" s="208"/>
      <c r="BE227" s="208"/>
      <c r="BF227" s="208"/>
      <c r="BG227" s="1184"/>
      <c r="BH227" s="1184"/>
      <c r="BI227" s="1184"/>
      <c r="BJ227" s="1184"/>
      <c r="BK227" s="1184"/>
      <c r="BL227" s="1184"/>
      <c r="BM227" s="1184"/>
      <c r="BN227" s="1184"/>
      <c r="BO227" s="1184"/>
      <c r="BP227" s="1184"/>
      <c r="BQ227" s="1184"/>
      <c r="BR227" s="1184"/>
      <c r="BS227" s="1184"/>
      <c r="BT227" s="1184"/>
      <c r="BU227" s="1184"/>
      <c r="BV227" s="1184"/>
      <c r="BW227" s="1184"/>
      <c r="BX227" s="1184"/>
      <c r="BY227" s="1184"/>
      <c r="BZ227" s="208"/>
      <c r="CA227" s="208"/>
      <c r="CB227" s="208"/>
      <c r="CC227" s="208"/>
      <c r="CD227" s="211"/>
    </row>
    <row r="228" ht="18" customHeight="1">
      <c r="A228" s="1234">
        <v>24</v>
      </c>
      <c r="B228" s="1236">
        <f>HLOOKUP($F$199,$M$204:$AP$236,25,-1)</f>
        <v>0</v>
      </c>
      <c r="C228" s="1217"/>
      <c r="D228" s="1217"/>
      <c r="E228" s="1217"/>
      <c r="F228" s="1233">
        <f>B228*$F$198</f>
        <v>0</v>
      </c>
      <c r="G228" s="1217"/>
      <c r="H228" s="1217"/>
      <c r="I228" s="1217"/>
      <c r="J228" s="1217"/>
      <c r="K228" s="1233">
        <f>ROUND($B228*$K$20,0)</f>
        <v>0</v>
      </c>
      <c r="L228" s="1220"/>
      <c r="M228" s="1216"/>
      <c r="N228" s="1217"/>
      <c r="O228" s="1217"/>
      <c r="P228" s="1217"/>
      <c r="Q228" s="1239"/>
      <c r="R228" s="1239"/>
      <c r="S228" s="1239"/>
      <c r="T228" s="1239"/>
      <c r="U228" s="1239"/>
      <c r="V228" s="1239"/>
      <c r="W228" s="1239"/>
      <c r="X228" s="1239"/>
      <c r="Y228" s="1239"/>
      <c r="Z228" s="1239"/>
      <c r="AA228" s="1239"/>
      <c r="AB228" s="1239"/>
      <c r="AC228" s="1239"/>
      <c r="AD228" s="1239"/>
      <c r="AE228" s="1239"/>
      <c r="AF228" s="1217"/>
      <c r="AG228" s="1217"/>
      <c r="AH228" s="1239"/>
      <c r="AI228" s="1239"/>
      <c r="AJ228" s="1239"/>
      <c r="AK228" s="1239">
        <v>0.0664298373537599</v>
      </c>
      <c r="AL228" s="1239">
        <v>0.04002983735375988</v>
      </c>
      <c r="AM228" s="1239">
        <v>0.03768364504606758</v>
      </c>
      <c r="AN228" s="1239">
        <v>0.04738738578680832</v>
      </c>
      <c r="AO228" s="1239">
        <v>0.05113738578680832</v>
      </c>
      <c r="AP228" s="1239">
        <v>0.05493045475232557</v>
      </c>
      <c r="AQ228" s="1217"/>
      <c r="AR228" s="1217"/>
      <c r="AS228" s="1217"/>
      <c r="AT228" s="708"/>
      <c r="AU228" s="708"/>
      <c r="AV228" s="708"/>
      <c r="AW228" s="708"/>
      <c r="AX228" s="708"/>
      <c r="AY228" s="708"/>
      <c r="AZ228" s="708"/>
      <c r="BA228" s="208"/>
      <c r="BB228" s="208"/>
      <c r="BC228" s="208"/>
      <c r="BD228" s="208"/>
      <c r="BE228" s="208"/>
      <c r="BF228" s="208"/>
      <c r="BG228" s="1184"/>
      <c r="BH228" s="1184"/>
      <c r="BI228" s="1184"/>
      <c r="BJ228" s="1184"/>
      <c r="BK228" s="1184"/>
      <c r="BL228" s="1184"/>
      <c r="BM228" s="1184"/>
      <c r="BN228" s="1184"/>
      <c r="BO228" s="1184"/>
      <c r="BP228" s="1184"/>
      <c r="BQ228" s="1184"/>
      <c r="BR228" s="1184"/>
      <c r="BS228" s="1184"/>
      <c r="BT228" s="1184"/>
      <c r="BU228" s="1184"/>
      <c r="BV228" s="1184"/>
      <c r="BW228" s="1184"/>
      <c r="BX228" s="1184"/>
      <c r="BY228" s="1184"/>
      <c r="BZ228" s="208"/>
      <c r="CA228" s="208"/>
      <c r="CB228" s="208"/>
      <c r="CC228" s="208"/>
      <c r="CD228" s="211"/>
    </row>
    <row r="229" ht="18" customHeight="1">
      <c r="A229" s="1234">
        <v>25</v>
      </c>
      <c r="B229" s="1236">
        <f>HLOOKUP($F$199,$M$204:$AP$236,26,-1)</f>
        <v>0</v>
      </c>
      <c r="C229" s="1217"/>
      <c r="D229" s="1217"/>
      <c r="E229" s="1217"/>
      <c r="F229" s="1233">
        <f>B229*$F$198</f>
        <v>0</v>
      </c>
      <c r="G229" s="1217"/>
      <c r="H229" s="1217"/>
      <c r="I229" s="1217"/>
      <c r="J229" s="1217"/>
      <c r="K229" s="1233">
        <f>ROUND($B229*$K$20,0)</f>
        <v>0</v>
      </c>
      <c r="L229" s="1220"/>
      <c r="M229" s="1216"/>
      <c r="N229" s="1217"/>
      <c r="O229" s="1217"/>
      <c r="P229" s="1217"/>
      <c r="Q229" s="1239"/>
      <c r="R229" s="1239"/>
      <c r="S229" s="1239"/>
      <c r="T229" s="1239"/>
      <c r="U229" s="1239"/>
      <c r="V229" s="1239"/>
      <c r="W229" s="1239"/>
      <c r="X229" s="1239"/>
      <c r="Y229" s="1239"/>
      <c r="Z229" s="1239"/>
      <c r="AA229" s="1239"/>
      <c r="AB229" s="1239"/>
      <c r="AC229" s="1239"/>
      <c r="AD229" s="1239"/>
      <c r="AE229" s="1239"/>
      <c r="AF229" s="1217"/>
      <c r="AG229" s="1217"/>
      <c r="AH229" s="1239"/>
      <c r="AI229" s="1239"/>
      <c r="AJ229" s="1239"/>
      <c r="AK229" s="1239"/>
      <c r="AL229" s="1239">
        <v>0.06602983735375989</v>
      </c>
      <c r="AM229" s="1239">
        <v>0.03968364504606758</v>
      </c>
      <c r="AN229" s="1239">
        <v>0.03738738578680832</v>
      </c>
      <c r="AO229" s="1239">
        <v>0.04713738578680832</v>
      </c>
      <c r="AP229" s="1239">
        <v>0.05093045475232557</v>
      </c>
      <c r="AQ229" s="1217"/>
      <c r="AR229" s="1217"/>
      <c r="AS229" s="1217"/>
      <c r="AT229" s="708"/>
      <c r="AU229" s="708"/>
      <c r="AV229" s="708"/>
      <c r="AW229" s="708"/>
      <c r="AX229" s="708"/>
      <c r="AY229" s="708"/>
      <c r="AZ229" s="708"/>
      <c r="BA229" s="208"/>
      <c r="BB229" s="208"/>
      <c r="BC229" s="208"/>
      <c r="BD229" s="208"/>
      <c r="BE229" s="208"/>
      <c r="BF229" s="208"/>
      <c r="BG229" s="1184"/>
      <c r="BH229" s="1184"/>
      <c r="BI229" s="1184"/>
      <c r="BJ229" s="1184"/>
      <c r="BK229" s="1184"/>
      <c r="BL229" s="1184"/>
      <c r="BM229" s="1184"/>
      <c r="BN229" s="1184"/>
      <c r="BO229" s="1184"/>
      <c r="BP229" s="1184"/>
      <c r="BQ229" s="1184"/>
      <c r="BR229" s="1184"/>
      <c r="BS229" s="1184"/>
      <c r="BT229" s="1184"/>
      <c r="BU229" s="1184"/>
      <c r="BV229" s="1184"/>
      <c r="BW229" s="1184"/>
      <c r="BX229" s="1184"/>
      <c r="BY229" s="1184"/>
      <c r="BZ229" s="208"/>
      <c r="CA229" s="208"/>
      <c r="CB229" s="208"/>
      <c r="CC229" s="208"/>
      <c r="CD229" s="211"/>
    </row>
    <row r="230" ht="18" customHeight="1">
      <c r="A230" s="1234">
        <v>26</v>
      </c>
      <c r="B230" s="1236">
        <f>HLOOKUP($F$199,$M$204:$AP$236,27,-1)</f>
        <v>0</v>
      </c>
      <c r="C230" s="1217"/>
      <c r="D230" s="1217"/>
      <c r="E230" s="1217"/>
      <c r="F230" s="1233">
        <f>B230*$F$198</f>
        <v>0</v>
      </c>
      <c r="G230" s="1217"/>
      <c r="H230" s="1217"/>
      <c r="I230" s="1217"/>
      <c r="J230" s="1217"/>
      <c r="K230" s="1233">
        <f>ROUND($B230*$K$20,0)</f>
        <v>0</v>
      </c>
      <c r="L230" s="1220"/>
      <c r="M230" s="1216"/>
      <c r="N230" s="1217"/>
      <c r="O230" s="1217"/>
      <c r="P230" s="1217"/>
      <c r="Q230" s="1239"/>
      <c r="R230" s="1239"/>
      <c r="S230" s="1239"/>
      <c r="T230" s="1239"/>
      <c r="U230" s="1239"/>
      <c r="V230" s="1239"/>
      <c r="W230" s="1239"/>
      <c r="X230" s="1239"/>
      <c r="Y230" s="1239"/>
      <c r="Z230" s="1239"/>
      <c r="AA230" s="1239"/>
      <c r="AB230" s="1239"/>
      <c r="AC230" s="1239"/>
      <c r="AD230" s="1239"/>
      <c r="AE230" s="1239"/>
      <c r="AF230" s="1217"/>
      <c r="AG230" s="1217"/>
      <c r="AH230" s="1239"/>
      <c r="AI230" s="1239"/>
      <c r="AJ230" s="1239"/>
      <c r="AK230" s="1239"/>
      <c r="AL230" s="1239"/>
      <c r="AM230" s="1239">
        <v>0.06568364504606759</v>
      </c>
      <c r="AN230" s="1239">
        <v>0.03938738578680832</v>
      </c>
      <c r="AO230" s="1239">
        <v>0.03713738578680831</v>
      </c>
      <c r="AP230" s="1239">
        <v>0.04693045475232557</v>
      </c>
      <c r="AQ230" s="1217"/>
      <c r="AR230" s="1217"/>
      <c r="AS230" s="1217"/>
      <c r="AT230" s="708"/>
      <c r="AU230" s="708"/>
      <c r="AV230" s="708"/>
      <c r="AW230" s="708"/>
      <c r="AX230" s="708"/>
      <c r="AY230" s="708"/>
      <c r="AZ230" s="708"/>
      <c r="BA230" s="208"/>
      <c r="BB230" s="208"/>
      <c r="BC230" s="208"/>
      <c r="BD230" s="208"/>
      <c r="BE230" s="208"/>
      <c r="BF230" s="208"/>
      <c r="BG230" s="1184"/>
      <c r="BH230" s="1184"/>
      <c r="BI230" s="1184"/>
      <c r="BJ230" s="1184"/>
      <c r="BK230" s="1184"/>
      <c r="BL230" s="1184"/>
      <c r="BM230" s="1184"/>
      <c r="BN230" s="1184"/>
      <c r="BO230" s="1184"/>
      <c r="BP230" s="1184"/>
      <c r="BQ230" s="1184"/>
      <c r="BR230" s="1184"/>
      <c r="BS230" s="1184"/>
      <c r="BT230" s="1184"/>
      <c r="BU230" s="1184"/>
      <c r="BV230" s="1184"/>
      <c r="BW230" s="1184"/>
      <c r="BX230" s="1184"/>
      <c r="BY230" s="1184"/>
      <c r="BZ230" s="208"/>
      <c r="CA230" s="208"/>
      <c r="CB230" s="208"/>
      <c r="CC230" s="208"/>
      <c r="CD230" s="211"/>
    </row>
    <row r="231" ht="18" customHeight="1">
      <c r="A231" s="1234">
        <v>27</v>
      </c>
      <c r="B231" s="1236">
        <f>HLOOKUP($F$199,$M$204:$AP$236,28,-1)</f>
        <v>0</v>
      </c>
      <c r="C231" s="1217"/>
      <c r="D231" s="1217"/>
      <c r="E231" s="1217"/>
      <c r="F231" s="1233">
        <f>B231*$F$198</f>
        <v>0</v>
      </c>
      <c r="G231" s="1217"/>
      <c r="H231" s="1217"/>
      <c r="I231" s="1217"/>
      <c r="J231" s="1217"/>
      <c r="K231" s="1233">
        <f>ROUND($B231*$K$20,0)</f>
        <v>0</v>
      </c>
      <c r="L231" s="1220"/>
      <c r="M231" s="1216"/>
      <c r="N231" s="1217"/>
      <c r="O231" s="1217"/>
      <c r="P231" s="1217"/>
      <c r="Q231" s="1239"/>
      <c r="R231" s="1239"/>
      <c r="S231" s="1239"/>
      <c r="T231" s="1239"/>
      <c r="U231" s="1239"/>
      <c r="V231" s="1239"/>
      <c r="W231" s="1239"/>
      <c r="X231" s="1239"/>
      <c r="Y231" s="1239"/>
      <c r="Z231" s="1239"/>
      <c r="AA231" s="1239"/>
      <c r="AB231" s="1239"/>
      <c r="AC231" s="1239"/>
      <c r="AD231" s="1239"/>
      <c r="AE231" s="1239"/>
      <c r="AF231" s="1217"/>
      <c r="AG231" s="1217"/>
      <c r="AH231" s="1239"/>
      <c r="AI231" s="1239"/>
      <c r="AJ231" s="1239"/>
      <c r="AK231" s="1239"/>
      <c r="AL231" s="1239"/>
      <c r="AM231" s="1239"/>
      <c r="AN231" s="1239">
        <v>0.06538738578680833</v>
      </c>
      <c r="AO231" s="1239">
        <v>0.03913738578680832</v>
      </c>
      <c r="AP231" s="1239">
        <v>0.03693045475232556</v>
      </c>
      <c r="AQ231" s="1217"/>
      <c r="AR231" s="1217"/>
      <c r="AS231" s="1217"/>
      <c r="AT231" s="708"/>
      <c r="AU231" s="708"/>
      <c r="AV231" s="708"/>
      <c r="AW231" s="708"/>
      <c r="AX231" s="708"/>
      <c r="AY231" s="708"/>
      <c r="AZ231" s="708"/>
      <c r="BA231" s="208"/>
      <c r="BB231" s="208"/>
      <c r="BC231" s="208"/>
      <c r="BD231" s="208"/>
      <c r="BE231" s="208"/>
      <c r="BF231" s="208"/>
      <c r="BG231" s="1184"/>
      <c r="BH231" s="1184"/>
      <c r="BI231" s="1184"/>
      <c r="BJ231" s="1184"/>
      <c r="BK231" s="1184"/>
      <c r="BL231" s="1184"/>
      <c r="BM231" s="1184"/>
      <c r="BN231" s="1184"/>
      <c r="BO231" s="1184"/>
      <c r="BP231" s="1184"/>
      <c r="BQ231" s="1184"/>
      <c r="BR231" s="1184"/>
      <c r="BS231" s="1184"/>
      <c r="BT231" s="1184"/>
      <c r="BU231" s="1184"/>
      <c r="BV231" s="1184"/>
      <c r="BW231" s="1184"/>
      <c r="BX231" s="1184"/>
      <c r="BY231" s="1184"/>
      <c r="BZ231" s="208"/>
      <c r="CA231" s="208"/>
      <c r="CB231" s="208"/>
      <c r="CC231" s="208"/>
      <c r="CD231" s="211"/>
    </row>
    <row r="232" ht="18" customHeight="1">
      <c r="A232" s="1234">
        <v>28</v>
      </c>
      <c r="B232" s="1236">
        <f>HLOOKUP($F$199,$M$204:$AP$236,29,-1)</f>
        <v>0</v>
      </c>
      <c r="C232" s="1217"/>
      <c r="D232" s="1217"/>
      <c r="E232" s="1217"/>
      <c r="F232" s="1233">
        <f>B232*$F$198</f>
        <v>0</v>
      </c>
      <c r="G232" s="1217"/>
      <c r="H232" s="1217"/>
      <c r="I232" s="1217"/>
      <c r="J232" s="1217"/>
      <c r="K232" s="1233">
        <f>ROUND($B232*$K$20,0)</f>
        <v>0</v>
      </c>
      <c r="L232" s="1220"/>
      <c r="M232" s="1216"/>
      <c r="N232" s="1217"/>
      <c r="O232" s="1217"/>
      <c r="P232" s="1217"/>
      <c r="Q232" s="1239"/>
      <c r="R232" s="1239"/>
      <c r="S232" s="1239"/>
      <c r="T232" s="1239"/>
      <c r="U232" s="1239"/>
      <c r="V232" s="1239"/>
      <c r="W232" s="1239"/>
      <c r="X232" s="1239"/>
      <c r="Y232" s="1239"/>
      <c r="Z232" s="1239"/>
      <c r="AA232" s="1239"/>
      <c r="AB232" s="1239"/>
      <c r="AC232" s="1239"/>
      <c r="AD232" s="1239"/>
      <c r="AE232" s="1239"/>
      <c r="AF232" s="1217"/>
      <c r="AG232" s="1217"/>
      <c r="AH232" s="1239"/>
      <c r="AI232" s="1239"/>
      <c r="AJ232" s="1239"/>
      <c r="AK232" s="1239"/>
      <c r="AL232" s="1239"/>
      <c r="AM232" s="1239"/>
      <c r="AN232" s="1239"/>
      <c r="AO232" s="1239">
        <v>0.06513738578680832</v>
      </c>
      <c r="AP232" s="1239">
        <v>0.03893045475232557</v>
      </c>
      <c r="AQ232" s="1217"/>
      <c r="AR232" s="1217"/>
      <c r="AS232" s="1217"/>
      <c r="AT232" s="708"/>
      <c r="AU232" s="708"/>
      <c r="AV232" s="708"/>
      <c r="AW232" s="708"/>
      <c r="AX232" s="708"/>
      <c r="AY232" s="708"/>
      <c r="AZ232" s="708"/>
      <c r="BA232" s="208"/>
      <c r="BB232" s="208"/>
      <c r="BC232" s="208"/>
      <c r="BD232" s="208"/>
      <c r="BE232" s="208"/>
      <c r="BF232" s="208"/>
      <c r="BG232" s="1184"/>
      <c r="BH232" s="1184"/>
      <c r="BI232" s="1184"/>
      <c r="BJ232" s="1184"/>
      <c r="BK232" s="1184"/>
      <c r="BL232" s="1184"/>
      <c r="BM232" s="1184"/>
      <c r="BN232" s="1184"/>
      <c r="BO232" s="1184"/>
      <c r="BP232" s="1184"/>
      <c r="BQ232" s="1184"/>
      <c r="BR232" s="1184"/>
      <c r="BS232" s="1184"/>
      <c r="BT232" s="1184"/>
      <c r="BU232" s="1184"/>
      <c r="BV232" s="1184"/>
      <c r="BW232" s="1184"/>
      <c r="BX232" s="1184"/>
      <c r="BY232" s="1184"/>
      <c r="BZ232" s="208"/>
      <c r="CA232" s="208"/>
      <c r="CB232" s="208"/>
      <c r="CC232" s="208"/>
      <c r="CD232" s="211"/>
    </row>
    <row r="233" ht="18" customHeight="1">
      <c r="A233" s="1234">
        <v>29</v>
      </c>
      <c r="B233" s="1236">
        <f>HLOOKUP($F$199,$M$204:$AP$236,30,-1)</f>
        <v>0</v>
      </c>
      <c r="C233" s="1217"/>
      <c r="D233" s="1217"/>
      <c r="E233" s="1217"/>
      <c r="F233" s="1233">
        <f>B233*$F$198</f>
        <v>0</v>
      </c>
      <c r="G233" s="1217"/>
      <c r="H233" s="1217"/>
      <c r="I233" s="1217"/>
      <c r="J233" s="1217"/>
      <c r="K233" s="1233">
        <f>ROUND($B233*$K$20,0)</f>
        <v>0</v>
      </c>
      <c r="L233" s="1220"/>
      <c r="M233" s="1216"/>
      <c r="N233" s="1217"/>
      <c r="O233" s="1217"/>
      <c r="P233" s="1217"/>
      <c r="Q233" s="1239"/>
      <c r="R233" s="1239"/>
      <c r="S233" s="1239"/>
      <c r="T233" s="1239"/>
      <c r="U233" s="1239"/>
      <c r="V233" s="1239"/>
      <c r="W233" s="1239"/>
      <c r="X233" s="1239"/>
      <c r="Y233" s="1239"/>
      <c r="Z233" s="1239"/>
      <c r="AA233" s="1239"/>
      <c r="AB233" s="1239"/>
      <c r="AC233" s="1239"/>
      <c r="AD233" s="1239"/>
      <c r="AE233" s="1239"/>
      <c r="AF233" s="1217"/>
      <c r="AG233" s="1217"/>
      <c r="AH233" s="1239"/>
      <c r="AI233" s="1239"/>
      <c r="AJ233" s="1239"/>
      <c r="AK233" s="1239"/>
      <c r="AL233" s="1239"/>
      <c r="AM233" s="1239"/>
      <c r="AN233" s="1239"/>
      <c r="AO233" s="1239"/>
      <c r="AP233" s="1239">
        <v>0.06493045475232556</v>
      </c>
      <c r="AQ233" s="1217"/>
      <c r="AR233" s="1217"/>
      <c r="AS233" s="1217"/>
      <c r="AT233" s="708"/>
      <c r="AU233" s="708"/>
      <c r="AV233" s="708"/>
      <c r="AW233" s="708"/>
      <c r="AX233" s="708"/>
      <c r="AY233" s="708"/>
      <c r="AZ233" s="708"/>
      <c r="BA233" s="208"/>
      <c r="BB233" s="208"/>
      <c r="BC233" s="208"/>
      <c r="BD233" s="208"/>
      <c r="BE233" s="208"/>
      <c r="BF233" s="208"/>
      <c r="BG233" s="1184"/>
      <c r="BH233" s="1184"/>
      <c r="BI233" s="1184"/>
      <c r="BJ233" s="1184"/>
      <c r="BK233" s="1184"/>
      <c r="BL233" s="1184"/>
      <c r="BM233" s="1184"/>
      <c r="BN233" s="1184"/>
      <c r="BO233" s="1184"/>
      <c r="BP233" s="1184"/>
      <c r="BQ233" s="1184"/>
      <c r="BR233" s="1184"/>
      <c r="BS233" s="1184"/>
      <c r="BT233" s="1184"/>
      <c r="BU233" s="1184"/>
      <c r="BV233" s="1184"/>
      <c r="BW233" s="1184"/>
      <c r="BX233" s="1184"/>
      <c r="BY233" s="1184"/>
      <c r="BZ233" s="208"/>
      <c r="CA233" s="208"/>
      <c r="CB233" s="208"/>
      <c r="CC233" s="208"/>
      <c r="CD233" s="211"/>
    </row>
    <row r="234" ht="18" customHeight="1">
      <c r="A234" s="1234">
        <v>30</v>
      </c>
      <c r="B234" s="1236">
        <f>HLOOKUP($F$199,$M$204:$AP$236,31,-1)</f>
        <v>0</v>
      </c>
      <c r="C234" s="1217"/>
      <c r="D234" s="1217"/>
      <c r="E234" s="1217"/>
      <c r="F234" s="1233">
        <f>B234*$F$198</f>
        <v>0</v>
      </c>
      <c r="G234" s="1217"/>
      <c r="H234" s="1217"/>
      <c r="I234" s="1217"/>
      <c r="J234" s="1217"/>
      <c r="K234" s="1233">
        <f>ROUND($B234*$K$20,0)</f>
        <v>0</v>
      </c>
      <c r="L234" s="1220"/>
      <c r="M234" s="1216"/>
      <c r="N234" s="1217"/>
      <c r="O234" s="1217"/>
      <c r="P234" s="1217"/>
      <c r="Q234" s="1239"/>
      <c r="R234" s="1239"/>
      <c r="S234" s="1239"/>
      <c r="T234" s="1239"/>
      <c r="U234" s="1239"/>
      <c r="V234" s="1239"/>
      <c r="W234" s="1239"/>
      <c r="X234" s="1239"/>
      <c r="Y234" s="1239"/>
      <c r="Z234" s="1239"/>
      <c r="AA234" s="1239"/>
      <c r="AB234" s="1239"/>
      <c r="AC234" s="1239"/>
      <c r="AD234" s="1239"/>
      <c r="AE234" s="1239"/>
      <c r="AF234" s="1217"/>
      <c r="AG234" s="1239"/>
      <c r="AH234" s="1217"/>
      <c r="AI234" s="1217"/>
      <c r="AJ234" s="1217"/>
      <c r="AK234" s="1217"/>
      <c r="AL234" s="1217"/>
      <c r="AM234" s="1217"/>
      <c r="AN234" s="1217"/>
      <c r="AO234" s="1217"/>
      <c r="AP234" s="1217"/>
      <c r="AQ234" s="1217"/>
      <c r="AR234" s="1217"/>
      <c r="AS234" s="1217"/>
      <c r="AT234" s="708"/>
      <c r="AU234" s="708"/>
      <c r="AV234" s="708"/>
      <c r="AW234" s="708"/>
      <c r="AX234" s="708"/>
      <c r="AY234" s="708"/>
      <c r="AZ234" s="708"/>
      <c r="BA234" s="208"/>
      <c r="BB234" s="208"/>
      <c r="BC234" s="208"/>
      <c r="BD234" s="208"/>
      <c r="BE234" s="208"/>
      <c r="BF234" s="208"/>
      <c r="BG234" s="1184"/>
      <c r="BH234" s="1184"/>
      <c r="BI234" s="1184"/>
      <c r="BJ234" s="1184"/>
      <c r="BK234" s="1184"/>
      <c r="BL234" s="1184"/>
      <c r="BM234" s="1184"/>
      <c r="BN234" s="1184"/>
      <c r="BO234" s="1184"/>
      <c r="BP234" s="1184"/>
      <c r="BQ234" s="1184"/>
      <c r="BR234" s="1184"/>
      <c r="BS234" s="1184"/>
      <c r="BT234" s="1184"/>
      <c r="BU234" s="1184"/>
      <c r="BV234" s="1184"/>
      <c r="BW234" s="1184"/>
      <c r="BX234" s="1184"/>
      <c r="BY234" s="1184"/>
      <c r="BZ234" s="208"/>
      <c r="CA234" s="208"/>
      <c r="CB234" s="208"/>
      <c r="CC234" s="208"/>
      <c r="CD234" s="211"/>
    </row>
    <row r="235" ht="18" customHeight="1">
      <c r="A235" s="1231"/>
      <c r="B235" s="1217"/>
      <c r="C235" s="1217"/>
      <c r="D235" s="1217"/>
      <c r="E235" s="1217"/>
      <c r="F235" s="1241"/>
      <c r="G235" s="1217"/>
      <c r="H235" s="1217"/>
      <c r="I235" s="1217"/>
      <c r="J235" s="1217"/>
      <c r="K235" s="1242"/>
      <c r="L235" s="1220"/>
      <c r="M235" s="1216"/>
      <c r="N235" s="1217"/>
      <c r="O235" s="1217"/>
      <c r="P235" s="1217"/>
      <c r="Q235" s="1239"/>
      <c r="R235" s="1239"/>
      <c r="S235" s="1239"/>
      <c r="T235" s="1239"/>
      <c r="U235" s="1239"/>
      <c r="V235" s="1239"/>
      <c r="W235" s="1239"/>
      <c r="X235" s="1239"/>
      <c r="Y235" s="1239"/>
      <c r="Z235" s="1239"/>
      <c r="AA235" s="1239"/>
      <c r="AB235" s="1239"/>
      <c r="AC235" s="1239"/>
      <c r="AD235" s="1239"/>
      <c r="AE235" s="1239"/>
      <c r="AF235" s="1221">
        <v>0</v>
      </c>
      <c r="AG235" s="1239"/>
      <c r="AH235" s="1217"/>
      <c r="AI235" s="1217"/>
      <c r="AJ235" s="1217"/>
      <c r="AK235" s="1217"/>
      <c r="AL235" s="1217"/>
      <c r="AM235" s="1217"/>
      <c r="AN235" s="1217"/>
      <c r="AO235" s="1217"/>
      <c r="AP235" s="1217"/>
      <c r="AQ235" s="1217"/>
      <c r="AR235" s="1217"/>
      <c r="AS235" s="1217"/>
      <c r="AT235" s="708"/>
      <c r="AU235" s="708"/>
      <c r="AV235" s="708"/>
      <c r="AW235" s="708"/>
      <c r="AX235" s="708"/>
      <c r="AY235" s="708"/>
      <c r="AZ235" s="708"/>
      <c r="BA235" s="208"/>
      <c r="BB235" s="208"/>
      <c r="BC235" s="208"/>
      <c r="BD235" s="208"/>
      <c r="BE235" s="208"/>
      <c r="BF235" s="208"/>
      <c r="BG235" s="1184"/>
      <c r="BH235" s="1184"/>
      <c r="BI235" s="1184"/>
      <c r="BJ235" s="1184"/>
      <c r="BK235" s="1184"/>
      <c r="BL235" s="1184"/>
      <c r="BM235" s="1184"/>
      <c r="BN235" s="1184"/>
      <c r="BO235" s="1184"/>
      <c r="BP235" s="1184"/>
      <c r="BQ235" s="1184"/>
      <c r="BR235" s="1184"/>
      <c r="BS235" s="1184"/>
      <c r="BT235" s="1184"/>
      <c r="BU235" s="1184"/>
      <c r="BV235" s="1184"/>
      <c r="BW235" s="1184"/>
      <c r="BX235" s="1184"/>
      <c r="BY235" s="1184"/>
      <c r="BZ235" s="208"/>
      <c r="CA235" s="208"/>
      <c r="CB235" s="208"/>
      <c r="CC235" s="208"/>
      <c r="CD235" s="211"/>
    </row>
    <row r="236" ht="18" customHeight="1">
      <c r="A236" s="1231"/>
      <c r="B236" s="1236">
        <f>SUM(B205:B234)</f>
        <v>0.9999999999999999</v>
      </c>
      <c r="C236" s="1236"/>
      <c r="D236" s="1236"/>
      <c r="E236" s="1217"/>
      <c r="F236" s="1243">
        <f>SUM(F205:F234)</f>
        <v>0</v>
      </c>
      <c r="G236" s="1217"/>
      <c r="H236" s="1217"/>
      <c r="I236" s="1217"/>
      <c r="J236" s="1217"/>
      <c r="K236" s="1243">
        <f>SUM(K205:K234)</f>
        <v>0</v>
      </c>
      <c r="L236" s="1220"/>
      <c r="M236" s="1237">
        <f>SUM(M205:M215)</f>
        <v>1</v>
      </c>
      <c r="N236" s="1238">
        <f>SUM(N205:N215)</f>
        <v>1</v>
      </c>
      <c r="O236" s="1238">
        <f>SUM(O205:O215)</f>
        <v>1</v>
      </c>
      <c r="P236" s="1238">
        <f>SUM(P205:P215)</f>
        <v>1</v>
      </c>
      <c r="Q236" s="1238">
        <f>SUM(Q205:Q215)</f>
        <v>1</v>
      </c>
      <c r="R236" s="1238">
        <f>SUM(R205:R215)</f>
        <v>1</v>
      </c>
      <c r="S236" s="1238">
        <f>SUM(S205:S215)</f>
        <v>1</v>
      </c>
      <c r="T236" s="1238">
        <f>SUM(T205:T215)</f>
        <v>1</v>
      </c>
      <c r="U236" s="1238">
        <f>SUM(U205:U215)</f>
        <v>1</v>
      </c>
      <c r="V236" s="1238">
        <f>SUM(V205:V215)</f>
        <v>1</v>
      </c>
      <c r="W236" s="1238">
        <f>SUM(W205:W215)</f>
        <v>0.9999999999999999</v>
      </c>
      <c r="X236" s="1238">
        <f>SUM(X205:X215)</f>
        <v>0.9999999999999998</v>
      </c>
      <c r="Y236" s="1238">
        <f>SUM(Y205:Y217)</f>
        <v>0.9999999999999999</v>
      </c>
      <c r="Z236" s="1238">
        <f>SUM(Z205:Z220)</f>
        <v>0.9999999999999999</v>
      </c>
      <c r="AA236" s="1238">
        <f>SUM(AA205:AA220)</f>
        <v>1</v>
      </c>
      <c r="AB236" s="1238">
        <f>SUM(AB205:AB222)</f>
        <v>1</v>
      </c>
      <c r="AC236" s="1238">
        <f>SUM(AC205:AC222)</f>
        <v>1</v>
      </c>
      <c r="AD236" s="1238">
        <f>SUM(AD205:AD222)</f>
        <v>1</v>
      </c>
      <c r="AE236" s="1238">
        <f>SUM(AE205:AE222)</f>
        <v>1</v>
      </c>
      <c r="AF236" s="1238">
        <f>SUM(AF205:AF234)</f>
        <v>0.9999990000000001</v>
      </c>
      <c r="AG236" s="1238">
        <f>SUM(AG205:AG234)</f>
        <v>0.9999999999999996</v>
      </c>
      <c r="AH236" s="1238">
        <f>SUM(AH205:AH234)</f>
        <v>0.9999990000000003</v>
      </c>
      <c r="AI236" s="1238">
        <f>SUM(AI205:AI234)</f>
        <v>0.9999990000000004</v>
      </c>
      <c r="AJ236" s="1238">
        <f>SUM(AJ205:AJ234)</f>
        <v>1.000000000000001</v>
      </c>
      <c r="AK236" s="1238">
        <f>SUM(AK205:AK234)</f>
        <v>1</v>
      </c>
      <c r="AL236" s="1238">
        <f>SUM(AL205:AL234)</f>
        <v>0.9999999999999997</v>
      </c>
      <c r="AM236" s="1238">
        <f>SUM(AM205:AM234)</f>
        <v>0.9999990000000002</v>
      </c>
      <c r="AN236" s="1238">
        <f>SUM(AN205:AN234)</f>
        <v>1</v>
      </c>
      <c r="AO236" s="1238">
        <f>SUM(AO205:AO234)</f>
        <v>0.9999999999999998</v>
      </c>
      <c r="AP236" s="1238">
        <f>SUM(AP205:AP234)</f>
        <v>0.9999990000000003</v>
      </c>
      <c r="AQ236" s="1217"/>
      <c r="AR236" s="1217"/>
      <c r="AS236" s="1217"/>
      <c r="AT236" s="708"/>
      <c r="AU236" s="708"/>
      <c r="AV236" s="708"/>
      <c r="AW236" s="708"/>
      <c r="AX236" s="708"/>
      <c r="AY236" s="708"/>
      <c r="AZ236" s="708"/>
      <c r="BA236" s="208"/>
      <c r="BB236" s="208"/>
      <c r="BC236" s="208"/>
      <c r="BD236" s="208"/>
      <c r="BE236" s="208"/>
      <c r="BF236" s="208"/>
      <c r="BG236" s="1184"/>
      <c r="BH236" s="1184"/>
      <c r="BI236" s="1184"/>
      <c r="BJ236" s="1184"/>
      <c r="BK236" s="1184"/>
      <c r="BL236" s="1184"/>
      <c r="BM236" s="1184"/>
      <c r="BN236" s="1184"/>
      <c r="BO236" s="1184"/>
      <c r="BP236" s="1184"/>
      <c r="BQ236" s="1184"/>
      <c r="BR236" s="1184"/>
      <c r="BS236" s="1184"/>
      <c r="BT236" s="1184"/>
      <c r="BU236" s="1184"/>
      <c r="BV236" s="1184"/>
      <c r="BW236" s="1184"/>
      <c r="BX236" s="1184"/>
      <c r="BY236" s="1184"/>
      <c r="BZ236" s="208"/>
      <c r="CA236" s="208"/>
      <c r="CB236" s="208"/>
      <c r="CC236" s="208"/>
      <c r="CD236" s="211"/>
    </row>
    <row r="237" ht="18" customHeight="1">
      <c r="A237" s="1231"/>
      <c r="B237" s="1236"/>
      <c r="C237" s="1236"/>
      <c r="D237" s="1236"/>
      <c r="E237" s="1217"/>
      <c r="F237" s="1214"/>
      <c r="G237" s="1217"/>
      <c r="H237" s="1217"/>
      <c r="I237" s="1217"/>
      <c r="J237" s="1217"/>
      <c r="K237" s="1245"/>
      <c r="L237" s="1220"/>
      <c r="M237" s="1216"/>
      <c r="N237" s="1217"/>
      <c r="O237" s="1217"/>
      <c r="P237" s="1217"/>
      <c r="Q237" s="1217"/>
      <c r="R237" s="1217"/>
      <c r="S237" s="1217"/>
      <c r="T237" s="1217"/>
      <c r="U237" s="1217"/>
      <c r="V237" s="1217"/>
      <c r="W237" s="1217"/>
      <c r="X237" s="1217"/>
      <c r="Y237" s="1217"/>
      <c r="Z237" s="1217"/>
      <c r="AA237" s="1217"/>
      <c r="AB237" s="1217"/>
      <c r="AC237" s="1217"/>
      <c r="AD237" s="1217"/>
      <c r="AE237" s="1217"/>
      <c r="AF237" s="1217"/>
      <c r="AG237" s="1217"/>
      <c r="AH237" s="1217"/>
      <c r="AI237" s="1217"/>
      <c r="AJ237" s="1217"/>
      <c r="AK237" s="1217"/>
      <c r="AL237" s="1217"/>
      <c r="AM237" s="1217"/>
      <c r="AN237" s="1217"/>
      <c r="AO237" s="1217"/>
      <c r="AP237" s="1217"/>
      <c r="AQ237" s="1217"/>
      <c r="AR237" s="1217"/>
      <c r="AS237" s="1217"/>
      <c r="AT237" s="708"/>
      <c r="AU237" s="708"/>
      <c r="AV237" s="708"/>
      <c r="AW237" s="708"/>
      <c r="AX237" s="708"/>
      <c r="AY237" s="708"/>
      <c r="AZ237" s="708"/>
      <c r="BA237" s="208"/>
      <c r="BB237" s="208"/>
      <c r="BC237" s="208"/>
      <c r="BD237" s="208"/>
      <c r="BE237" s="208"/>
      <c r="BF237" s="208"/>
      <c r="BG237" s="1184"/>
      <c r="BH237" s="1184"/>
      <c r="BI237" s="1184"/>
      <c r="BJ237" s="1184"/>
      <c r="BK237" s="1184"/>
      <c r="BL237" s="1184"/>
      <c r="BM237" s="1184"/>
      <c r="BN237" s="1184"/>
      <c r="BO237" s="1184"/>
      <c r="BP237" s="1184"/>
      <c r="BQ237" s="1184"/>
      <c r="BR237" s="1184"/>
      <c r="BS237" s="1184"/>
      <c r="BT237" s="1184"/>
      <c r="BU237" s="1184"/>
      <c r="BV237" s="1184"/>
      <c r="BW237" s="1184"/>
      <c r="BX237" s="1184"/>
      <c r="BY237" s="1184"/>
      <c r="BZ237" s="208"/>
      <c r="CA237" s="208"/>
      <c r="CB237" s="208"/>
      <c r="CC237" s="208"/>
      <c r="CD237" s="211"/>
    </row>
    <row r="238" ht="18" customHeight="1">
      <c r="A238" s="1216"/>
      <c r="B238" t="s" s="1230">
        <v>1118</v>
      </c>
      <c r="C238" s="1223"/>
      <c r="D238" s="1223"/>
      <c r="E238" s="1217"/>
      <c r="F238" s="1233">
        <f>C151</f>
        <v>0</v>
      </c>
      <c r="G238" s="1217"/>
      <c r="H238" s="1217"/>
      <c r="I238" s="1217"/>
      <c r="J238" s="1217"/>
      <c r="K238" s="1233">
        <f>C152</f>
        <v>0</v>
      </c>
      <c r="L238" s="1220"/>
      <c r="M238" s="1216"/>
      <c r="N238" s="1217"/>
      <c r="O238" s="1217"/>
      <c r="P238" s="1217"/>
      <c r="Q238" s="1217"/>
      <c r="R238" s="1217"/>
      <c r="S238" s="1217"/>
      <c r="T238" s="1217"/>
      <c r="U238" s="1217"/>
      <c r="V238" s="1217"/>
      <c r="W238" s="1217"/>
      <c r="X238" s="1217"/>
      <c r="Y238" s="1217"/>
      <c r="Z238" s="1217"/>
      <c r="AA238" s="1217"/>
      <c r="AB238" s="1217"/>
      <c r="AC238" s="1217"/>
      <c r="AD238" s="1217"/>
      <c r="AE238" s="1217"/>
      <c r="AF238" s="1217"/>
      <c r="AG238" s="1217"/>
      <c r="AH238" s="1217"/>
      <c r="AI238" s="1217"/>
      <c r="AJ238" s="1217"/>
      <c r="AK238" s="1217"/>
      <c r="AL238" s="1217"/>
      <c r="AM238" s="1217"/>
      <c r="AN238" s="1217"/>
      <c r="AO238" s="1217"/>
      <c r="AP238" s="1217"/>
      <c r="AQ238" s="1217"/>
      <c r="AR238" s="1217"/>
      <c r="AS238" s="1217"/>
      <c r="AT238" s="708"/>
      <c r="AU238" s="708"/>
      <c r="AV238" s="708"/>
      <c r="AW238" s="708"/>
      <c r="AX238" s="708"/>
      <c r="AY238" s="708"/>
      <c r="AZ238" s="708"/>
      <c r="BA238" s="208"/>
      <c r="BB238" s="208"/>
      <c r="BC238" s="208"/>
      <c r="BD238" s="208"/>
      <c r="BE238" s="208"/>
      <c r="BF238" s="208"/>
      <c r="BG238" s="1184"/>
      <c r="BH238" s="1184"/>
      <c r="BI238" s="1184"/>
      <c r="BJ238" s="1184"/>
      <c r="BK238" s="1184"/>
      <c r="BL238" s="1184"/>
      <c r="BM238" s="1184"/>
      <c r="BN238" s="1184"/>
      <c r="BO238" s="1184"/>
      <c r="BP238" s="1184"/>
      <c r="BQ238" s="1184"/>
      <c r="BR238" s="1184"/>
      <c r="BS238" s="1184"/>
      <c r="BT238" s="1184"/>
      <c r="BU238" s="1184"/>
      <c r="BV238" s="1184"/>
      <c r="BW238" s="1184"/>
      <c r="BX238" s="1184"/>
      <c r="BY238" s="1184"/>
      <c r="BZ238" s="208"/>
      <c r="CA238" s="208"/>
      <c r="CB238" s="208"/>
      <c r="CC238" s="208"/>
      <c r="CD238" s="211"/>
    </row>
    <row r="239" ht="18" customHeight="1">
      <c r="A239" s="1216"/>
      <c r="B239" s="1217"/>
      <c r="C239" s="1217"/>
      <c r="D239" s="1217"/>
      <c r="E239" s="1217"/>
      <c r="F239" s="1242"/>
      <c r="G239" s="1217"/>
      <c r="H239" s="1217"/>
      <c r="I239" s="1217"/>
      <c r="J239" s="1217"/>
      <c r="K239" s="1241"/>
      <c r="L239" s="1220"/>
      <c r="M239" s="1216"/>
      <c r="N239" s="1217"/>
      <c r="O239" s="1217"/>
      <c r="P239" s="1217"/>
      <c r="Q239" s="1217"/>
      <c r="R239" s="1217"/>
      <c r="S239" s="1217"/>
      <c r="T239" s="1217"/>
      <c r="U239" s="1217"/>
      <c r="V239" s="1217"/>
      <c r="W239" s="1217"/>
      <c r="X239" s="1217"/>
      <c r="Y239" s="1217"/>
      <c r="Z239" s="1217"/>
      <c r="AA239" s="1217"/>
      <c r="AB239" s="1217"/>
      <c r="AC239" s="1217"/>
      <c r="AD239" s="1217"/>
      <c r="AE239" s="1217"/>
      <c r="AF239" s="1217"/>
      <c r="AG239" s="1217"/>
      <c r="AH239" s="1217"/>
      <c r="AI239" s="1217"/>
      <c r="AJ239" s="1217"/>
      <c r="AK239" s="1217"/>
      <c r="AL239" s="1217"/>
      <c r="AM239" s="1217"/>
      <c r="AN239" s="1217"/>
      <c r="AO239" s="1217"/>
      <c r="AP239" s="1217"/>
      <c r="AQ239" s="1217"/>
      <c r="AR239" s="1217"/>
      <c r="AS239" s="1217"/>
      <c r="AT239" s="708"/>
      <c r="AU239" s="708"/>
      <c r="AV239" s="708"/>
      <c r="AW239" s="708"/>
      <c r="AX239" s="708"/>
      <c r="AY239" s="708"/>
      <c r="AZ239" s="708"/>
      <c r="BA239" s="208"/>
      <c r="BB239" s="208"/>
      <c r="BC239" s="208"/>
      <c r="BD239" s="208"/>
      <c r="BE239" s="208"/>
      <c r="BF239" s="208"/>
      <c r="BG239" s="1184"/>
      <c r="BH239" s="1184"/>
      <c r="BI239" s="1184"/>
      <c r="BJ239" s="1184"/>
      <c r="BK239" s="1184"/>
      <c r="BL239" s="1184"/>
      <c r="BM239" s="1184"/>
      <c r="BN239" s="1184"/>
      <c r="BO239" s="1184"/>
      <c r="BP239" s="1184"/>
      <c r="BQ239" s="1184"/>
      <c r="BR239" s="1184"/>
      <c r="BS239" s="1184"/>
      <c r="BT239" s="1184"/>
      <c r="BU239" s="1184"/>
      <c r="BV239" s="1184"/>
      <c r="BW239" s="1184"/>
      <c r="BX239" s="1184"/>
      <c r="BY239" s="1184"/>
      <c r="BZ239" s="208"/>
      <c r="CA239" s="208"/>
      <c r="CB239" s="208"/>
      <c r="CC239" s="208"/>
      <c r="CD239" s="211"/>
    </row>
    <row r="240" ht="18" customHeight="1">
      <c r="A240" s="1216"/>
      <c r="B240" t="s" s="1230">
        <v>967</v>
      </c>
      <c r="C240" s="1223"/>
      <c r="D240" s="1223"/>
      <c r="E240" s="1217"/>
      <c r="F240" s="1243">
        <f>SUM(F236:F238)</f>
        <v>0</v>
      </c>
      <c r="G240" s="1217"/>
      <c r="H240" s="1217"/>
      <c r="I240" s="1217"/>
      <c r="J240" s="1217"/>
      <c r="K240" s="1243">
        <f>SUM(K236:K238)</f>
        <v>0</v>
      </c>
      <c r="L240" s="1220"/>
      <c r="M240" s="1216"/>
      <c r="N240" s="1217"/>
      <c r="O240" s="1217"/>
      <c r="P240" s="1217"/>
      <c r="Q240" s="1217"/>
      <c r="R240" s="1217"/>
      <c r="S240" s="1217"/>
      <c r="T240" s="1217"/>
      <c r="U240" s="1217"/>
      <c r="V240" s="1217"/>
      <c r="W240" s="1217"/>
      <c r="X240" s="1217"/>
      <c r="Y240" s="1217"/>
      <c r="Z240" s="1217"/>
      <c r="AA240" s="1217"/>
      <c r="AB240" s="1217"/>
      <c r="AC240" s="1217"/>
      <c r="AD240" s="1217"/>
      <c r="AE240" s="1217"/>
      <c r="AF240" s="1217"/>
      <c r="AG240" s="1217"/>
      <c r="AH240" s="1217"/>
      <c r="AI240" s="1217"/>
      <c r="AJ240" s="1217"/>
      <c r="AK240" s="1217"/>
      <c r="AL240" s="1217"/>
      <c r="AM240" s="1217"/>
      <c r="AN240" s="1217"/>
      <c r="AO240" s="1217"/>
      <c r="AP240" s="1217"/>
      <c r="AQ240" s="1217"/>
      <c r="AR240" s="1217"/>
      <c r="AS240" s="1217"/>
      <c r="AT240" s="708"/>
      <c r="AU240" s="708"/>
      <c r="AV240" s="708"/>
      <c r="AW240" s="708"/>
      <c r="AX240" s="708"/>
      <c r="AY240" s="708"/>
      <c r="AZ240" s="708"/>
      <c r="BA240" s="208"/>
      <c r="BB240" s="208"/>
      <c r="BC240" s="208"/>
      <c r="BD240" s="208"/>
      <c r="BE240" s="208"/>
      <c r="BF240" s="208"/>
      <c r="BG240" s="1184"/>
      <c r="BH240" s="1184"/>
      <c r="BI240" s="1184"/>
      <c r="BJ240" s="1184"/>
      <c r="BK240" s="1184"/>
      <c r="BL240" s="1184"/>
      <c r="BM240" s="1184"/>
      <c r="BN240" s="1184"/>
      <c r="BO240" s="1184"/>
      <c r="BP240" s="1184"/>
      <c r="BQ240" s="1184"/>
      <c r="BR240" s="1184"/>
      <c r="BS240" s="1184"/>
      <c r="BT240" s="1184"/>
      <c r="BU240" s="1184"/>
      <c r="BV240" s="1184"/>
      <c r="BW240" s="1184"/>
      <c r="BX240" s="1184"/>
      <c r="BY240" s="1184"/>
      <c r="BZ240" s="208"/>
      <c r="CA240" s="208"/>
      <c r="CB240" s="208"/>
      <c r="CC240" s="208"/>
      <c r="CD240" s="211"/>
    </row>
    <row r="241" ht="18" customHeight="1">
      <c r="A241" s="1216"/>
      <c r="B241" s="1217"/>
      <c r="C241" s="1217"/>
      <c r="D241" s="1217"/>
      <c r="E241" s="1217"/>
      <c r="F241" s="1214"/>
      <c r="G241" s="1217"/>
      <c r="H241" s="1217"/>
      <c r="I241" s="1217"/>
      <c r="J241" s="1217"/>
      <c r="K241" s="1214"/>
      <c r="L241" s="1220"/>
      <c r="M241" s="1216"/>
      <c r="N241" s="1217"/>
      <c r="O241" s="1217"/>
      <c r="P241" s="1217"/>
      <c r="Q241" s="1217"/>
      <c r="R241" s="1217"/>
      <c r="S241" s="1217"/>
      <c r="T241" s="1217"/>
      <c r="U241" s="1217"/>
      <c r="V241" s="1217"/>
      <c r="W241" s="1217"/>
      <c r="X241" s="1217"/>
      <c r="Y241" s="1217"/>
      <c r="Z241" s="1217"/>
      <c r="AA241" s="1217"/>
      <c r="AB241" s="1217"/>
      <c r="AC241" s="1217"/>
      <c r="AD241" s="1217"/>
      <c r="AE241" s="1217"/>
      <c r="AF241" s="1217"/>
      <c r="AG241" s="1217"/>
      <c r="AH241" s="1217"/>
      <c r="AI241" s="1217"/>
      <c r="AJ241" s="1217"/>
      <c r="AK241" s="1217"/>
      <c r="AL241" s="1217"/>
      <c r="AM241" s="1217"/>
      <c r="AN241" s="1217"/>
      <c r="AO241" s="1217"/>
      <c r="AP241" s="1217"/>
      <c r="AQ241" s="1217"/>
      <c r="AR241" s="1217"/>
      <c r="AS241" s="1217"/>
      <c r="AT241" s="708"/>
      <c r="AU241" s="708"/>
      <c r="AV241" s="708"/>
      <c r="AW241" s="708"/>
      <c r="AX241" s="708"/>
      <c r="AY241" s="708"/>
      <c r="AZ241" s="708"/>
      <c r="BA241" s="208"/>
      <c r="BB241" s="208"/>
      <c r="BC241" s="208"/>
      <c r="BD241" s="208"/>
      <c r="BE241" s="208"/>
      <c r="BF241" s="208"/>
      <c r="BG241" s="1184"/>
      <c r="BH241" s="1184"/>
      <c r="BI241" s="1184"/>
      <c r="BJ241" s="1184"/>
      <c r="BK241" s="1184"/>
      <c r="BL241" s="1184"/>
      <c r="BM241" s="1184"/>
      <c r="BN241" s="1184"/>
      <c r="BO241" s="1184"/>
      <c r="BP241" s="1184"/>
      <c r="BQ241" s="1184"/>
      <c r="BR241" s="1184"/>
      <c r="BS241" s="1184"/>
      <c r="BT241" s="1184"/>
      <c r="BU241" s="1184"/>
      <c r="BV241" s="1184"/>
      <c r="BW241" s="1184"/>
      <c r="BX241" s="1184"/>
      <c r="BY241" s="1184"/>
      <c r="BZ241" s="208"/>
      <c r="CA241" s="208"/>
      <c r="CB241" s="208"/>
      <c r="CC241" s="208"/>
      <c r="CD241" s="211"/>
    </row>
    <row r="242" ht="18" customHeight="1">
      <c r="A242" s="1216"/>
      <c r="B242" s="1217"/>
      <c r="C242" s="1217"/>
      <c r="D242" s="1217"/>
      <c r="E242" s="1217"/>
      <c r="F242" s="1217"/>
      <c r="G242" s="1217"/>
      <c r="H242" s="1217"/>
      <c r="I242" s="1217"/>
      <c r="J242" s="1217"/>
      <c r="K242" s="1217"/>
      <c r="L242" s="1220"/>
      <c r="M242" s="1216"/>
      <c r="N242" s="1217"/>
      <c r="O242" s="1217"/>
      <c r="P242" s="1217"/>
      <c r="Q242" s="1217"/>
      <c r="R242" s="1217"/>
      <c r="S242" s="1217"/>
      <c r="T242" s="1217"/>
      <c r="U242" s="1217"/>
      <c r="V242" s="1217"/>
      <c r="W242" s="1217"/>
      <c r="X242" s="1217"/>
      <c r="Y242" s="1217"/>
      <c r="Z242" s="1217"/>
      <c r="AA242" s="1217"/>
      <c r="AB242" s="1217"/>
      <c r="AC242" s="1217"/>
      <c r="AD242" s="1217"/>
      <c r="AE242" s="1217"/>
      <c r="AF242" s="1217"/>
      <c r="AG242" s="1217"/>
      <c r="AH242" s="1217"/>
      <c r="AI242" s="1217"/>
      <c r="AJ242" s="1217"/>
      <c r="AK242" s="1217"/>
      <c r="AL242" s="1217"/>
      <c r="AM242" s="1217"/>
      <c r="AN242" s="1217"/>
      <c r="AO242" s="1217"/>
      <c r="AP242" s="1217"/>
      <c r="AQ242" s="1217"/>
      <c r="AR242" s="1217"/>
      <c r="AS242" s="1217"/>
      <c r="AT242" s="708"/>
      <c r="AU242" s="708"/>
      <c r="AV242" s="708"/>
      <c r="AW242" s="708"/>
      <c r="AX242" s="708"/>
      <c r="AY242" s="708"/>
      <c r="AZ242" s="708"/>
      <c r="BA242" s="208"/>
      <c r="BB242" s="208"/>
      <c r="BC242" s="208"/>
      <c r="BD242" s="208"/>
      <c r="BE242" s="208"/>
      <c r="BF242" s="208"/>
      <c r="BG242" s="1184"/>
      <c r="BH242" s="1184"/>
      <c r="BI242" s="1184"/>
      <c r="BJ242" s="1184"/>
      <c r="BK242" s="1184"/>
      <c r="BL242" s="1184"/>
      <c r="BM242" s="1184"/>
      <c r="BN242" s="1184"/>
      <c r="BO242" s="1184"/>
      <c r="BP242" s="1184"/>
      <c r="BQ242" s="1184"/>
      <c r="BR242" s="1184"/>
      <c r="BS242" s="1184"/>
      <c r="BT242" s="1184"/>
      <c r="BU242" s="1184"/>
      <c r="BV242" s="1184"/>
      <c r="BW242" s="1184"/>
      <c r="BX242" s="1184"/>
      <c r="BY242" s="1184"/>
      <c r="BZ242" s="208"/>
      <c r="CA242" s="208"/>
      <c r="CB242" s="208"/>
      <c r="CC242" s="208"/>
      <c r="CD242" s="211"/>
    </row>
    <row r="243" ht="18" customHeight="1">
      <c r="A243" s="1216"/>
      <c r="B243" s="1217"/>
      <c r="C243" s="1217"/>
      <c r="D243" s="1217"/>
      <c r="E243" s="1217"/>
      <c r="F243" s="1217"/>
      <c r="G243" s="1217"/>
      <c r="H243" s="1217"/>
      <c r="I243" s="1217"/>
      <c r="J243" s="1217"/>
      <c r="K243" s="1217"/>
      <c r="L243" s="1220"/>
      <c r="M243" s="1216"/>
      <c r="N243" s="1217"/>
      <c r="O243" s="1217"/>
      <c r="P243" s="1217"/>
      <c r="Q243" s="1217"/>
      <c r="R243" s="1217"/>
      <c r="S243" s="1217"/>
      <c r="T243" s="1217"/>
      <c r="U243" s="1217"/>
      <c r="V243" s="1217"/>
      <c r="W243" s="1217"/>
      <c r="X243" s="1217"/>
      <c r="Y243" s="1217"/>
      <c r="Z243" s="1217"/>
      <c r="AA243" s="1217"/>
      <c r="AB243" s="1217"/>
      <c r="AC243" s="1217"/>
      <c r="AD243" s="1217"/>
      <c r="AE243" s="1217"/>
      <c r="AF243" s="1217"/>
      <c r="AG243" s="1217"/>
      <c r="AH243" s="1217"/>
      <c r="AI243" s="1217"/>
      <c r="AJ243" s="1217"/>
      <c r="AK243" s="1217"/>
      <c r="AL243" s="1217"/>
      <c r="AM243" s="1217"/>
      <c r="AN243" s="1217"/>
      <c r="AO243" s="1217"/>
      <c r="AP243" s="1217"/>
      <c r="AQ243" s="1217"/>
      <c r="AR243" s="1217"/>
      <c r="AS243" s="1217"/>
      <c r="AT243" s="708"/>
      <c r="AU243" s="708"/>
      <c r="AV243" s="708"/>
      <c r="AW243" s="708"/>
      <c r="AX243" s="708"/>
      <c r="AY243" s="708"/>
      <c r="AZ243" s="708"/>
      <c r="BA243" s="208"/>
      <c r="BB243" s="208"/>
      <c r="BC243" s="208"/>
      <c r="BD243" s="208"/>
      <c r="BE243" s="208"/>
      <c r="BF243" s="208"/>
      <c r="BG243" s="1184"/>
      <c r="BH243" s="1184"/>
      <c r="BI243" s="1184"/>
      <c r="BJ243" s="1184"/>
      <c r="BK243" s="1184"/>
      <c r="BL243" s="1184"/>
      <c r="BM243" s="1184"/>
      <c r="BN243" s="1184"/>
      <c r="BO243" s="1184"/>
      <c r="BP243" s="1184"/>
      <c r="BQ243" s="1184"/>
      <c r="BR243" s="1184"/>
      <c r="BS243" s="1184"/>
      <c r="BT243" s="1184"/>
      <c r="BU243" s="1184"/>
      <c r="BV243" s="1184"/>
      <c r="BW243" s="1184"/>
      <c r="BX243" s="1184"/>
      <c r="BY243" s="1184"/>
      <c r="BZ243" s="208"/>
      <c r="CA243" s="208"/>
      <c r="CB243" s="208"/>
      <c r="CC243" s="208"/>
      <c r="CD243" s="211"/>
    </row>
    <row r="244" ht="18" customHeight="1">
      <c r="A244" s="1216"/>
      <c r="B244" s="1217"/>
      <c r="C244" s="1217"/>
      <c r="D244" s="1217"/>
      <c r="E244" s="1217"/>
      <c r="F244" s="1217"/>
      <c r="G244" s="1217"/>
      <c r="H244" s="1217"/>
      <c r="I244" s="1217"/>
      <c r="J244" s="1217"/>
      <c r="K244" s="1217"/>
      <c r="L244" s="1220"/>
      <c r="M244" s="1216"/>
      <c r="N244" s="1217"/>
      <c r="O244" s="1217"/>
      <c r="P244" s="1217"/>
      <c r="Q244" s="1217"/>
      <c r="R244" s="1217"/>
      <c r="S244" s="1217"/>
      <c r="T244" s="1217"/>
      <c r="U244" s="1217"/>
      <c r="V244" s="1217"/>
      <c r="W244" s="1217"/>
      <c r="X244" s="1217"/>
      <c r="Y244" s="1217"/>
      <c r="Z244" s="1217"/>
      <c r="AA244" s="1217"/>
      <c r="AB244" s="1217"/>
      <c r="AC244" s="1217"/>
      <c r="AD244" s="1217"/>
      <c r="AE244" s="1217"/>
      <c r="AF244" s="1217"/>
      <c r="AG244" s="1217"/>
      <c r="AH244" s="1217"/>
      <c r="AI244" s="1217"/>
      <c r="AJ244" s="1217"/>
      <c r="AK244" s="1217"/>
      <c r="AL244" s="1217"/>
      <c r="AM244" s="1217"/>
      <c r="AN244" s="1217"/>
      <c r="AO244" s="1217"/>
      <c r="AP244" s="1217"/>
      <c r="AQ244" s="1217"/>
      <c r="AR244" s="1217"/>
      <c r="AS244" s="1217"/>
      <c r="AT244" s="708"/>
      <c r="AU244" s="708"/>
      <c r="AV244" s="708"/>
      <c r="AW244" s="708"/>
      <c r="AX244" s="708"/>
      <c r="AY244" s="708"/>
      <c r="AZ244" s="708"/>
      <c r="BA244" s="208"/>
      <c r="BB244" s="208"/>
      <c r="BC244" s="208"/>
      <c r="BD244" s="208"/>
      <c r="BE244" s="208"/>
      <c r="BF244" s="208"/>
      <c r="BG244" s="1184"/>
      <c r="BH244" s="1184"/>
      <c r="BI244" s="1184"/>
      <c r="BJ244" s="1184"/>
      <c r="BK244" s="1184"/>
      <c r="BL244" s="1184"/>
      <c r="BM244" s="1184"/>
      <c r="BN244" s="1184"/>
      <c r="BO244" s="1184"/>
      <c r="BP244" s="1184"/>
      <c r="BQ244" s="1184"/>
      <c r="BR244" s="1184"/>
      <c r="BS244" s="1184"/>
      <c r="BT244" s="1184"/>
      <c r="BU244" s="1184"/>
      <c r="BV244" s="1184"/>
      <c r="BW244" s="1184"/>
      <c r="BX244" s="1184"/>
      <c r="BY244" s="1184"/>
      <c r="BZ244" s="208"/>
      <c r="CA244" s="208"/>
      <c r="CB244" s="208"/>
      <c r="CC244" s="208"/>
      <c r="CD244" s="211"/>
    </row>
    <row r="245" ht="18" customHeight="1">
      <c r="A245" s="1216"/>
      <c r="B245" t="s" s="1246">
        <v>1119</v>
      </c>
      <c r="C245" s="1219"/>
      <c r="D245" s="1219"/>
      <c r="E245" s="1217"/>
      <c r="F245" s="1217"/>
      <c r="G245" s="1217"/>
      <c r="H245" s="1217"/>
      <c r="I245" s="1217"/>
      <c r="J245" s="1217"/>
      <c r="K245" s="1217"/>
      <c r="L245" s="1220"/>
      <c r="M245" s="1216"/>
      <c r="N245" s="1217"/>
      <c r="O245" s="1217"/>
      <c r="P245" s="1217"/>
      <c r="Q245" s="1217"/>
      <c r="R245" s="1217"/>
      <c r="S245" s="1217"/>
      <c r="T245" s="1217"/>
      <c r="U245" s="1217"/>
      <c r="V245" s="1217"/>
      <c r="W245" s="1217"/>
      <c r="X245" s="1217"/>
      <c r="Y245" s="1217"/>
      <c r="Z245" s="1217"/>
      <c r="AA245" s="1217"/>
      <c r="AB245" s="1217"/>
      <c r="AC245" s="1217"/>
      <c r="AD245" s="1217"/>
      <c r="AE245" s="1217"/>
      <c r="AF245" s="1217"/>
      <c r="AG245" s="1217"/>
      <c r="AH245" s="1217"/>
      <c r="AI245" s="1217"/>
      <c r="AJ245" s="1217"/>
      <c r="AK245" s="1217"/>
      <c r="AL245" s="1217"/>
      <c r="AM245" s="1217"/>
      <c r="AN245" s="1217"/>
      <c r="AO245" s="1217"/>
      <c r="AP245" s="1217"/>
      <c r="AQ245" s="1217"/>
      <c r="AR245" s="1217"/>
      <c r="AS245" s="1217"/>
      <c r="AT245" s="708"/>
      <c r="AU245" s="708"/>
      <c r="AV245" s="708"/>
      <c r="AW245" s="708"/>
      <c r="AX245" s="708"/>
      <c r="AY245" s="708"/>
      <c r="AZ245" s="708"/>
      <c r="BA245" s="208"/>
      <c r="BB245" s="208"/>
      <c r="BC245" s="208"/>
      <c r="BD245" s="208"/>
      <c r="BE245" s="208"/>
      <c r="BF245" s="208"/>
      <c r="BG245" s="1184"/>
      <c r="BH245" s="1184"/>
      <c r="BI245" s="1184"/>
      <c r="BJ245" s="1184"/>
      <c r="BK245" s="1184"/>
      <c r="BL245" s="1184"/>
      <c r="BM245" s="1184"/>
      <c r="BN245" s="1184"/>
      <c r="BO245" s="1184"/>
      <c r="BP245" s="1184"/>
      <c r="BQ245" s="1184"/>
      <c r="BR245" s="1184"/>
      <c r="BS245" s="1184"/>
      <c r="BT245" s="1184"/>
      <c r="BU245" s="1184"/>
      <c r="BV245" s="1184"/>
      <c r="BW245" s="1184"/>
      <c r="BX245" s="1184"/>
      <c r="BY245" s="1184"/>
      <c r="BZ245" s="208"/>
      <c r="CA245" s="208"/>
      <c r="CB245" s="208"/>
      <c r="CC245" s="208"/>
      <c r="CD245" s="211"/>
    </row>
    <row r="246" ht="18" customHeight="1">
      <c r="A246" s="1216"/>
      <c r="B246" s="1217"/>
      <c r="C246" s="1242"/>
      <c r="D246" s="1242"/>
      <c r="E246" s="1242"/>
      <c r="F246" s="1242"/>
      <c r="G246" s="1217"/>
      <c r="H246" s="1217"/>
      <c r="I246" s="1217"/>
      <c r="J246" s="1217"/>
      <c r="K246" s="1242"/>
      <c r="L246" s="1220"/>
      <c r="M246" s="1216"/>
      <c r="N246" s="1217"/>
      <c r="O246" s="1217"/>
      <c r="P246" s="1217"/>
      <c r="Q246" s="1217"/>
      <c r="R246" s="1217"/>
      <c r="S246" s="1217"/>
      <c r="T246" s="1217"/>
      <c r="U246" s="1217"/>
      <c r="V246" s="1217"/>
      <c r="W246" s="1217"/>
      <c r="X246" s="1217"/>
      <c r="Y246" s="1217"/>
      <c r="Z246" s="1217"/>
      <c r="AA246" s="1217"/>
      <c r="AB246" s="1217"/>
      <c r="AC246" s="1217"/>
      <c r="AD246" s="1217"/>
      <c r="AE246" s="1217"/>
      <c r="AF246" s="1217"/>
      <c r="AG246" s="1217"/>
      <c r="AH246" s="1217"/>
      <c r="AI246" s="1217"/>
      <c r="AJ246" s="1217"/>
      <c r="AK246" s="1217"/>
      <c r="AL246" s="1217"/>
      <c r="AM246" s="1217"/>
      <c r="AN246" s="1217"/>
      <c r="AO246" s="1217"/>
      <c r="AP246" s="1217"/>
      <c r="AQ246" s="1217"/>
      <c r="AR246" s="1217"/>
      <c r="AS246" s="1217"/>
      <c r="AT246" s="708"/>
      <c r="AU246" s="708"/>
      <c r="AV246" s="708"/>
      <c r="AW246" s="708"/>
      <c r="AX246" s="708"/>
      <c r="AY246" s="708"/>
      <c r="AZ246" s="708"/>
      <c r="BA246" s="208"/>
      <c r="BB246" s="208"/>
      <c r="BC246" s="208"/>
      <c r="BD246" s="208"/>
      <c r="BE246" s="208"/>
      <c r="BF246" s="208"/>
      <c r="BG246" s="1184"/>
      <c r="BH246" s="1184"/>
      <c r="BI246" s="1184"/>
      <c r="BJ246" s="1184"/>
      <c r="BK246" s="1184"/>
      <c r="BL246" s="1184"/>
      <c r="BM246" s="1184"/>
      <c r="BN246" s="1184"/>
      <c r="BO246" s="1184"/>
      <c r="BP246" s="1184"/>
      <c r="BQ246" s="1184"/>
      <c r="BR246" s="1184"/>
      <c r="BS246" s="1184"/>
      <c r="BT246" s="1184"/>
      <c r="BU246" s="1184"/>
      <c r="BV246" s="1184"/>
      <c r="BW246" s="1184"/>
      <c r="BX246" s="1184"/>
      <c r="BY246" s="1184"/>
      <c r="BZ246" s="208"/>
      <c r="CA246" s="208"/>
      <c r="CB246" s="208"/>
      <c r="CC246" s="208"/>
      <c r="CD246" s="211"/>
    </row>
    <row r="247" ht="18" customHeight="1">
      <c r="A247" s="1216"/>
      <c r="B247" t="s" s="1247">
        <v>962</v>
      </c>
      <c r="C247" t="s" s="1248">
        <v>1120</v>
      </c>
      <c r="D247" s="1249"/>
      <c r="E247" s="1249"/>
      <c r="F247" s="1250"/>
      <c r="G247" s="1216"/>
      <c r="H247" s="1251"/>
      <c r="I247" s="1251"/>
      <c r="J247" s="1252"/>
      <c r="K247" s="1253"/>
      <c r="L247" t="s" s="1254">
        <v>1121</v>
      </c>
      <c r="M247" s="1216"/>
      <c r="N247" s="1217"/>
      <c r="O247" s="1217"/>
      <c r="P247" s="1217"/>
      <c r="Q247" s="1217"/>
      <c r="R247" s="1217"/>
      <c r="S247" s="1217"/>
      <c r="T247" s="1217"/>
      <c r="U247" s="1217"/>
      <c r="V247" s="1217"/>
      <c r="W247" s="1217"/>
      <c r="X247" s="1217"/>
      <c r="Y247" s="1217"/>
      <c r="Z247" s="1217"/>
      <c r="AA247" s="1217"/>
      <c r="AB247" s="1217"/>
      <c r="AC247" s="1217"/>
      <c r="AD247" s="1217"/>
      <c r="AE247" s="1217"/>
      <c r="AF247" s="1217"/>
      <c r="AG247" s="1217"/>
      <c r="AH247" s="1217"/>
      <c r="AI247" s="1217"/>
      <c r="AJ247" s="1217"/>
      <c r="AK247" s="1217"/>
      <c r="AL247" s="1217"/>
      <c r="AM247" s="1217"/>
      <c r="AN247" s="1217"/>
      <c r="AO247" s="1217"/>
      <c r="AP247" s="1217"/>
      <c r="AQ247" s="1217"/>
      <c r="AR247" s="1217"/>
      <c r="AS247" s="1217"/>
      <c r="AT247" s="708"/>
      <c r="AU247" s="708"/>
      <c r="AV247" s="708"/>
      <c r="AW247" s="708"/>
      <c r="AX247" s="708"/>
      <c r="AY247" s="708"/>
      <c r="AZ247" s="708"/>
      <c r="BA247" s="208"/>
      <c r="BB247" s="208"/>
      <c r="BC247" s="208"/>
      <c r="BD247" s="208"/>
      <c r="BE247" s="208"/>
      <c r="BF247" s="208"/>
      <c r="BG247" s="1184"/>
      <c r="BH247" s="1184"/>
      <c r="BI247" s="1184"/>
      <c r="BJ247" s="1184"/>
      <c r="BK247" s="1184"/>
      <c r="BL247" s="1184"/>
      <c r="BM247" s="1184"/>
      <c r="BN247" s="1184"/>
      <c r="BO247" s="1184"/>
      <c r="BP247" s="1184"/>
      <c r="BQ247" s="1184"/>
      <c r="BR247" s="1184"/>
      <c r="BS247" s="1184"/>
      <c r="BT247" s="1184"/>
      <c r="BU247" s="1184"/>
      <c r="BV247" s="1184"/>
      <c r="BW247" s="1184"/>
      <c r="BX247" s="1184"/>
      <c r="BY247" s="1184"/>
      <c r="BZ247" s="208"/>
      <c r="CA247" s="208"/>
      <c r="CB247" s="208"/>
      <c r="CC247" s="208"/>
      <c r="CD247" s="211"/>
    </row>
    <row r="248" ht="18" customHeight="1">
      <c r="A248" s="1216"/>
      <c r="B248" s="1217"/>
      <c r="C248" s="1255"/>
      <c r="D248" s="1255"/>
      <c r="E248" s="1255"/>
      <c r="F248" s="1255"/>
      <c r="G248" s="1217"/>
      <c r="H248" s="1217"/>
      <c r="I248" s="1217"/>
      <c r="J248" s="1217"/>
      <c r="K248" s="1255"/>
      <c r="L248" s="1220"/>
      <c r="M248" s="1216"/>
      <c r="N248" s="1217"/>
      <c r="O248" s="1217"/>
      <c r="P248" s="1217"/>
      <c r="Q248" s="1217"/>
      <c r="R248" s="1217"/>
      <c r="S248" s="1217"/>
      <c r="T248" s="1217"/>
      <c r="U248" s="1217"/>
      <c r="V248" s="1217"/>
      <c r="W248" s="1217"/>
      <c r="X248" s="1217"/>
      <c r="Y248" s="1217"/>
      <c r="Z248" s="1217"/>
      <c r="AA248" s="1217"/>
      <c r="AB248" s="1217"/>
      <c r="AC248" s="1217"/>
      <c r="AD248" s="1217"/>
      <c r="AE248" s="1217"/>
      <c r="AF248" s="1217"/>
      <c r="AG248" s="1217"/>
      <c r="AH248" s="1217"/>
      <c r="AI248" s="1217"/>
      <c r="AJ248" s="1217"/>
      <c r="AK248" s="1217"/>
      <c r="AL248" s="1217"/>
      <c r="AM248" s="1217"/>
      <c r="AN248" s="1217"/>
      <c r="AO248" s="1217"/>
      <c r="AP248" s="1217"/>
      <c r="AQ248" s="1217"/>
      <c r="AR248" s="1217"/>
      <c r="AS248" s="1217"/>
      <c r="AT248" s="708"/>
      <c r="AU248" s="708"/>
      <c r="AV248" s="708"/>
      <c r="AW248" s="708"/>
      <c r="AX248" s="708"/>
      <c r="AY248" s="708"/>
      <c r="AZ248" s="708"/>
      <c r="BA248" s="208"/>
      <c r="BB248" s="208"/>
      <c r="BC248" s="208"/>
      <c r="BD248" s="208"/>
      <c r="BE248" s="208"/>
      <c r="BF248" s="208"/>
      <c r="BG248" s="1184"/>
      <c r="BH248" s="1184"/>
      <c r="BI248" s="1184"/>
      <c r="BJ248" s="1184"/>
      <c r="BK248" s="1184"/>
      <c r="BL248" s="1184"/>
      <c r="BM248" s="1184"/>
      <c r="BN248" s="1184"/>
      <c r="BO248" s="1184"/>
      <c r="BP248" s="1184"/>
      <c r="BQ248" s="1184"/>
      <c r="BR248" s="1184"/>
      <c r="BS248" s="1184"/>
      <c r="BT248" s="1184"/>
      <c r="BU248" s="1184"/>
      <c r="BV248" s="1184"/>
      <c r="BW248" s="1184"/>
      <c r="BX248" s="1184"/>
      <c r="BY248" s="1184"/>
      <c r="BZ248" s="208"/>
      <c r="CA248" s="208"/>
      <c r="CB248" s="208"/>
      <c r="CC248" s="208"/>
      <c r="CD248" s="211"/>
    </row>
    <row r="249" ht="18" customHeight="1">
      <c r="A249" s="1216"/>
      <c r="B249" t="s" s="1247">
        <v>964</v>
      </c>
      <c r="C249" t="s" s="1248">
        <v>928</v>
      </c>
      <c r="D249" s="1249"/>
      <c r="E249" s="1249"/>
      <c r="F249" s="1250"/>
      <c r="G249" s="1216"/>
      <c r="H249" s="1217"/>
      <c r="I249" s="1217"/>
      <c r="J249" s="1220"/>
      <c r="K249" s="1253"/>
      <c r="L249" t="s" s="1254">
        <v>1121</v>
      </c>
      <c r="M249" s="1216"/>
      <c r="N249" s="1217"/>
      <c r="O249" s="1217"/>
      <c r="P249" s="1217"/>
      <c r="Q249" s="1217"/>
      <c r="R249" s="1217"/>
      <c r="S249" s="1217"/>
      <c r="T249" s="1217"/>
      <c r="U249" s="1217"/>
      <c r="V249" s="1217"/>
      <c r="W249" s="1217"/>
      <c r="X249" s="1217"/>
      <c r="Y249" s="1217"/>
      <c r="Z249" s="1217"/>
      <c r="AA249" s="1217"/>
      <c r="AB249" s="1217"/>
      <c r="AC249" s="1217"/>
      <c r="AD249" s="1217"/>
      <c r="AE249" s="1217"/>
      <c r="AF249" s="1217"/>
      <c r="AG249" s="1217"/>
      <c r="AH249" s="1217"/>
      <c r="AI249" s="1217"/>
      <c r="AJ249" s="1217"/>
      <c r="AK249" s="1217"/>
      <c r="AL249" s="1217"/>
      <c r="AM249" s="1217"/>
      <c r="AN249" s="1217"/>
      <c r="AO249" s="1217"/>
      <c r="AP249" s="1217"/>
      <c r="AQ249" s="1217"/>
      <c r="AR249" s="1217"/>
      <c r="AS249" s="1217"/>
      <c r="AT249" s="708"/>
      <c r="AU249" s="708"/>
      <c r="AV249" s="708"/>
      <c r="AW249" s="708"/>
      <c r="AX249" s="708"/>
      <c r="AY249" s="708"/>
      <c r="AZ249" s="708"/>
      <c r="BA249" s="208"/>
      <c r="BB249" s="208"/>
      <c r="BC249" s="208"/>
      <c r="BD249" s="208"/>
      <c r="BE249" s="208"/>
      <c r="BF249" s="208"/>
      <c r="BG249" s="1184"/>
      <c r="BH249" s="1184"/>
      <c r="BI249" s="1184"/>
      <c r="BJ249" s="1184"/>
      <c r="BK249" s="1184"/>
      <c r="BL249" s="1184"/>
      <c r="BM249" s="1184"/>
      <c r="BN249" s="1184"/>
      <c r="BO249" s="1184"/>
      <c r="BP249" s="1184"/>
      <c r="BQ249" s="1184"/>
      <c r="BR249" s="1184"/>
      <c r="BS249" s="1184"/>
      <c r="BT249" s="1184"/>
      <c r="BU249" s="1184"/>
      <c r="BV249" s="1184"/>
      <c r="BW249" s="1184"/>
      <c r="BX249" s="1184"/>
      <c r="BY249" s="1184"/>
      <c r="BZ249" s="208"/>
      <c r="CA249" s="208"/>
      <c r="CB249" s="208"/>
      <c r="CC249" s="208"/>
      <c r="CD249" s="211"/>
    </row>
    <row r="250" ht="18" customHeight="1">
      <c r="A250" s="1216"/>
      <c r="B250" s="1217"/>
      <c r="C250" s="1214"/>
      <c r="D250" s="1214"/>
      <c r="E250" s="1214"/>
      <c r="F250" s="1255"/>
      <c r="G250" s="1217"/>
      <c r="H250" s="1217"/>
      <c r="I250" s="1217"/>
      <c r="J250" s="1217"/>
      <c r="K250" s="1214"/>
      <c r="L250" s="1220"/>
      <c r="M250" s="1216"/>
      <c r="N250" s="1217"/>
      <c r="O250" s="1217"/>
      <c r="P250" s="1217"/>
      <c r="Q250" s="1217"/>
      <c r="R250" s="1217"/>
      <c r="S250" s="1217"/>
      <c r="T250" s="1217"/>
      <c r="U250" s="1217"/>
      <c r="V250" s="1217"/>
      <c r="W250" s="1217"/>
      <c r="X250" s="1217"/>
      <c r="Y250" s="1217"/>
      <c r="Z250" s="1217"/>
      <c r="AA250" s="1217"/>
      <c r="AB250" s="1217"/>
      <c r="AC250" s="1217"/>
      <c r="AD250" s="1217"/>
      <c r="AE250" s="1217"/>
      <c r="AF250" s="1217"/>
      <c r="AG250" s="1217"/>
      <c r="AH250" s="1217"/>
      <c r="AI250" s="1217"/>
      <c r="AJ250" s="1217"/>
      <c r="AK250" s="1217"/>
      <c r="AL250" s="1217"/>
      <c r="AM250" s="1217"/>
      <c r="AN250" s="1217"/>
      <c r="AO250" s="1217"/>
      <c r="AP250" s="1217"/>
      <c r="AQ250" s="1217"/>
      <c r="AR250" s="1217"/>
      <c r="AS250" s="1217"/>
      <c r="AT250" s="708"/>
      <c r="AU250" s="708"/>
      <c r="AV250" s="708"/>
      <c r="AW250" s="708"/>
      <c r="AX250" s="708"/>
      <c r="AY250" s="708"/>
      <c r="AZ250" s="708"/>
      <c r="BA250" s="208"/>
      <c r="BB250" s="208"/>
      <c r="BC250" s="208"/>
      <c r="BD250" s="208"/>
      <c r="BE250" s="208"/>
      <c r="BF250" s="208"/>
      <c r="BG250" s="1184"/>
      <c r="BH250" s="1184"/>
      <c r="BI250" s="1184"/>
      <c r="BJ250" s="1184"/>
      <c r="BK250" s="1184"/>
      <c r="BL250" s="1184"/>
      <c r="BM250" s="1184"/>
      <c r="BN250" s="1184"/>
      <c r="BO250" s="1184"/>
      <c r="BP250" s="1184"/>
      <c r="BQ250" s="1184"/>
      <c r="BR250" s="1184"/>
      <c r="BS250" s="1184"/>
      <c r="BT250" s="1184"/>
      <c r="BU250" s="1184"/>
      <c r="BV250" s="1184"/>
      <c r="BW250" s="1184"/>
      <c r="BX250" s="1184"/>
      <c r="BY250" s="1184"/>
      <c r="BZ250" s="208"/>
      <c r="CA250" s="208"/>
      <c r="CB250" s="208"/>
      <c r="CC250" s="208"/>
      <c r="CD250" s="211"/>
    </row>
    <row r="251" ht="18" customHeight="1">
      <c r="A251" s="1216"/>
      <c r="B251" t="s" s="1256">
        <v>1122</v>
      </c>
      <c r="C251" t="s" s="1221">
        <v>1123</v>
      </c>
      <c r="D251" s="1217"/>
      <c r="E251" t="s" s="1247">
        <v>1124</v>
      </c>
      <c r="F251" s="1257"/>
      <c r="G251" s="1258">
        <f>D251*F251</f>
        <v>0</v>
      </c>
      <c r="H251" s="1259"/>
      <c r="I251" s="1259"/>
      <c r="J251" s="1217"/>
      <c r="K251" s="1217"/>
      <c r="L251" s="1220"/>
      <c r="M251" s="1216"/>
      <c r="N251" s="1217"/>
      <c r="O251" s="1217"/>
      <c r="P251" s="1217"/>
      <c r="Q251" s="1217"/>
      <c r="R251" s="1217"/>
      <c r="S251" s="1217"/>
      <c r="T251" s="1217"/>
      <c r="U251" s="1217"/>
      <c r="V251" s="1217"/>
      <c r="W251" s="1217"/>
      <c r="X251" s="1217"/>
      <c r="Y251" s="1217"/>
      <c r="Z251" s="1217"/>
      <c r="AA251" s="1217"/>
      <c r="AB251" s="1217"/>
      <c r="AC251" s="1217"/>
      <c r="AD251" s="1217"/>
      <c r="AE251" s="1217"/>
      <c r="AF251" s="1217"/>
      <c r="AG251" s="1217"/>
      <c r="AH251" s="1217"/>
      <c r="AI251" s="1217"/>
      <c r="AJ251" s="1217"/>
      <c r="AK251" s="1217"/>
      <c r="AL251" s="1217"/>
      <c r="AM251" s="1217"/>
      <c r="AN251" s="1217"/>
      <c r="AO251" s="1217"/>
      <c r="AP251" s="1217"/>
      <c r="AQ251" s="1217"/>
      <c r="AR251" s="1217"/>
      <c r="AS251" s="1217"/>
      <c r="AT251" s="708"/>
      <c r="AU251" s="708"/>
      <c r="AV251" s="708"/>
      <c r="AW251" s="708"/>
      <c r="AX251" s="708"/>
      <c r="AY251" s="708"/>
      <c r="AZ251" s="708"/>
      <c r="BA251" s="208"/>
      <c r="BB251" s="208"/>
      <c r="BC251" s="208"/>
      <c r="BD251" s="208"/>
      <c r="BE251" s="208"/>
      <c r="BF251" s="208"/>
      <c r="BG251" s="1184"/>
      <c r="BH251" s="1184"/>
      <c r="BI251" s="1184"/>
      <c r="BJ251" s="1184"/>
      <c r="BK251" s="1184"/>
      <c r="BL251" s="1184"/>
      <c r="BM251" s="1184"/>
      <c r="BN251" s="1184"/>
      <c r="BO251" s="1184"/>
      <c r="BP251" s="1184"/>
      <c r="BQ251" s="1184"/>
      <c r="BR251" s="1184"/>
      <c r="BS251" s="1184"/>
      <c r="BT251" s="1184"/>
      <c r="BU251" s="1184"/>
      <c r="BV251" s="1184"/>
      <c r="BW251" s="1184"/>
      <c r="BX251" s="1184"/>
      <c r="BY251" s="1184"/>
      <c r="BZ251" s="208"/>
      <c r="CA251" s="208"/>
      <c r="CB251" s="208"/>
      <c r="CC251" s="208"/>
      <c r="CD251" s="211"/>
    </row>
    <row r="252" ht="18" customHeight="1">
      <c r="A252" s="1216"/>
      <c r="B252" s="1217"/>
      <c r="C252" t="s" s="1221">
        <v>1125</v>
      </c>
      <c r="D252" s="1217"/>
      <c r="E252" t="s" s="1247">
        <v>1124</v>
      </c>
      <c r="F252" s="1257"/>
      <c r="G252" s="1258">
        <f>D252*F252</f>
        <v>0</v>
      </c>
      <c r="H252" s="1259"/>
      <c r="I252" s="1259"/>
      <c r="J252" s="1217"/>
      <c r="K252" s="1217"/>
      <c r="L252" s="1220"/>
      <c r="M252" s="1216"/>
      <c r="N252" s="1217"/>
      <c r="O252" s="1217"/>
      <c r="P252" s="1217"/>
      <c r="Q252" s="1217"/>
      <c r="R252" s="1217"/>
      <c r="S252" s="1217"/>
      <c r="T252" s="1217"/>
      <c r="U252" s="1217"/>
      <c r="V252" s="1217"/>
      <c r="W252" s="1217"/>
      <c r="X252" s="1217"/>
      <c r="Y252" s="1217"/>
      <c r="Z252" s="1217"/>
      <c r="AA252" s="1217"/>
      <c r="AB252" s="1217"/>
      <c r="AC252" s="1217"/>
      <c r="AD252" s="1217"/>
      <c r="AE252" s="1217"/>
      <c r="AF252" s="1217"/>
      <c r="AG252" s="1217"/>
      <c r="AH252" s="1217"/>
      <c r="AI252" s="1217"/>
      <c r="AJ252" s="1217"/>
      <c r="AK252" s="1217"/>
      <c r="AL252" s="1217"/>
      <c r="AM252" s="1217"/>
      <c r="AN252" s="1217"/>
      <c r="AO252" s="1217"/>
      <c r="AP252" s="1217"/>
      <c r="AQ252" s="1217"/>
      <c r="AR252" s="1217"/>
      <c r="AS252" s="1217"/>
      <c r="AT252" s="708"/>
      <c r="AU252" s="708"/>
      <c r="AV252" s="708"/>
      <c r="AW252" s="708"/>
      <c r="AX252" s="708"/>
      <c r="AY252" s="708"/>
      <c r="AZ252" s="708"/>
      <c r="BA252" s="208"/>
      <c r="BB252" s="208"/>
      <c r="BC252" s="208"/>
      <c r="BD252" s="208"/>
      <c r="BE252" s="208"/>
      <c r="BF252" s="208"/>
      <c r="BG252" s="1184"/>
      <c r="BH252" s="1184"/>
      <c r="BI252" s="1184"/>
      <c r="BJ252" s="1184"/>
      <c r="BK252" s="1184"/>
      <c r="BL252" s="1184"/>
      <c r="BM252" s="1184"/>
      <c r="BN252" s="1184"/>
      <c r="BO252" s="1184"/>
      <c r="BP252" s="1184"/>
      <c r="BQ252" s="1184"/>
      <c r="BR252" s="1184"/>
      <c r="BS252" s="1184"/>
      <c r="BT252" s="1184"/>
      <c r="BU252" s="1184"/>
      <c r="BV252" s="1184"/>
      <c r="BW252" s="1184"/>
      <c r="BX252" s="1184"/>
      <c r="BY252" s="1184"/>
      <c r="BZ252" s="208"/>
      <c r="CA252" s="208"/>
      <c r="CB252" s="208"/>
      <c r="CC252" s="208"/>
      <c r="CD252" s="211"/>
    </row>
    <row r="253" ht="18" customHeight="1">
      <c r="A253" s="1216"/>
      <c r="B253" s="1217"/>
      <c r="C253" t="s" s="1221">
        <v>1123</v>
      </c>
      <c r="D253" s="1217"/>
      <c r="E253" t="s" s="1247">
        <v>1124</v>
      </c>
      <c r="F253" s="1257"/>
      <c r="G253" s="1258">
        <f>D253*F253</f>
        <v>0</v>
      </c>
      <c r="H253" s="1259"/>
      <c r="I253" s="1259"/>
      <c r="J253" s="1217"/>
      <c r="K253" s="1217"/>
      <c r="L253" s="1220"/>
      <c r="M253" s="1216"/>
      <c r="N253" s="1217"/>
      <c r="O253" s="1217"/>
      <c r="P253" s="1217"/>
      <c r="Q253" s="1217"/>
      <c r="R253" s="1217"/>
      <c r="S253" s="1217"/>
      <c r="T253" s="1217"/>
      <c r="U253" s="1217"/>
      <c r="V253" s="1217"/>
      <c r="W253" s="1217"/>
      <c r="X253" s="1217"/>
      <c r="Y253" s="1217"/>
      <c r="Z253" s="1217"/>
      <c r="AA253" s="1217"/>
      <c r="AB253" s="1217"/>
      <c r="AC253" s="1217"/>
      <c r="AD253" s="1217"/>
      <c r="AE253" s="1217"/>
      <c r="AF253" s="1217"/>
      <c r="AG253" s="1217"/>
      <c r="AH253" s="1217"/>
      <c r="AI253" s="1217"/>
      <c r="AJ253" s="1217"/>
      <c r="AK253" s="1217"/>
      <c r="AL253" s="1217"/>
      <c r="AM253" s="1217"/>
      <c r="AN253" s="1217"/>
      <c r="AO253" s="1217"/>
      <c r="AP253" s="1217"/>
      <c r="AQ253" s="1217"/>
      <c r="AR253" s="1217"/>
      <c r="AS253" s="1217"/>
      <c r="AT253" s="708"/>
      <c r="AU253" s="708"/>
      <c r="AV253" s="708"/>
      <c r="AW253" s="708"/>
      <c r="AX253" s="708"/>
      <c r="AY253" s="708"/>
      <c r="AZ253" s="708"/>
      <c r="BA253" s="208"/>
      <c r="BB253" s="208"/>
      <c r="BC253" s="208"/>
      <c r="BD253" s="208"/>
      <c r="BE253" s="208"/>
      <c r="BF253" s="208"/>
      <c r="BG253" s="1184"/>
      <c r="BH253" s="1184"/>
      <c r="BI253" s="1184"/>
      <c r="BJ253" s="1184"/>
      <c r="BK253" s="1184"/>
      <c r="BL253" s="1184"/>
      <c r="BM253" s="1184"/>
      <c r="BN253" s="1184"/>
      <c r="BO253" s="1184"/>
      <c r="BP253" s="1184"/>
      <c r="BQ253" s="1184"/>
      <c r="BR253" s="1184"/>
      <c r="BS253" s="1184"/>
      <c r="BT253" s="1184"/>
      <c r="BU253" s="1184"/>
      <c r="BV253" s="1184"/>
      <c r="BW253" s="1184"/>
      <c r="BX253" s="1184"/>
      <c r="BY253" s="1184"/>
      <c r="BZ253" s="208"/>
      <c r="CA253" s="208"/>
      <c r="CB253" s="208"/>
      <c r="CC253" s="208"/>
      <c r="CD253" s="211"/>
    </row>
    <row r="254" ht="18" customHeight="1">
      <c r="A254" s="1216"/>
      <c r="B254" s="1217"/>
      <c r="C254" t="s" s="1221">
        <v>1126</v>
      </c>
      <c r="D254" s="1217"/>
      <c r="E254" t="s" s="1247">
        <v>1124</v>
      </c>
      <c r="F254" s="1257"/>
      <c r="G254" s="1258">
        <f>D254*F254</f>
        <v>0</v>
      </c>
      <c r="H254" s="1260"/>
      <c r="I254" s="1260"/>
      <c r="J254" s="1217"/>
      <c r="K254" s="1217"/>
      <c r="L254" s="1220"/>
      <c r="M254" s="1216"/>
      <c r="N254" s="1217"/>
      <c r="O254" s="1217"/>
      <c r="P254" s="1217"/>
      <c r="Q254" s="1217"/>
      <c r="R254" s="1217"/>
      <c r="S254" s="1217"/>
      <c r="T254" s="1217"/>
      <c r="U254" s="1217"/>
      <c r="V254" s="1217"/>
      <c r="W254" s="1217"/>
      <c r="X254" s="1217"/>
      <c r="Y254" s="1217"/>
      <c r="Z254" s="1217"/>
      <c r="AA254" s="1217"/>
      <c r="AB254" s="1217"/>
      <c r="AC254" s="1217"/>
      <c r="AD254" s="1217"/>
      <c r="AE254" s="1217"/>
      <c r="AF254" s="1217"/>
      <c r="AG254" s="1217"/>
      <c r="AH254" s="1217"/>
      <c r="AI254" s="1217"/>
      <c r="AJ254" s="1217"/>
      <c r="AK254" s="1217"/>
      <c r="AL254" s="1217"/>
      <c r="AM254" s="1217"/>
      <c r="AN254" s="1217"/>
      <c r="AO254" s="1217"/>
      <c r="AP254" s="1217"/>
      <c r="AQ254" s="1217"/>
      <c r="AR254" s="1217"/>
      <c r="AS254" s="1217"/>
      <c r="AT254" s="708"/>
      <c r="AU254" s="708"/>
      <c r="AV254" s="708"/>
      <c r="AW254" s="708"/>
      <c r="AX254" s="708"/>
      <c r="AY254" s="708"/>
      <c r="AZ254" s="708"/>
      <c r="BA254" s="208"/>
      <c r="BB254" s="208"/>
      <c r="BC254" s="208"/>
      <c r="BD254" s="208"/>
      <c r="BE254" s="208"/>
      <c r="BF254" s="208"/>
      <c r="BG254" s="1184"/>
      <c r="BH254" s="1184"/>
      <c r="BI254" s="1184"/>
      <c r="BJ254" s="1184"/>
      <c r="BK254" s="1184"/>
      <c r="BL254" s="1184"/>
      <c r="BM254" s="1184"/>
      <c r="BN254" s="1184"/>
      <c r="BO254" s="1184"/>
      <c r="BP254" s="1184"/>
      <c r="BQ254" s="1184"/>
      <c r="BR254" s="1184"/>
      <c r="BS254" s="1184"/>
      <c r="BT254" s="1184"/>
      <c r="BU254" s="1184"/>
      <c r="BV254" s="1184"/>
      <c r="BW254" s="1184"/>
      <c r="BX254" s="1184"/>
      <c r="BY254" s="1184"/>
      <c r="BZ254" s="208"/>
      <c r="CA254" s="208"/>
      <c r="CB254" s="208"/>
      <c r="CC254" s="208"/>
      <c r="CD254" s="211"/>
    </row>
    <row r="255" ht="18" customHeight="1">
      <c r="A255" s="1216"/>
      <c r="B255" s="1217"/>
      <c r="C255" t="s" s="1221">
        <v>1123</v>
      </c>
      <c r="D255" s="1217"/>
      <c r="E255" t="s" s="1247">
        <v>1124</v>
      </c>
      <c r="F255" s="1257"/>
      <c r="G255" s="1258">
        <f>D255*F255</f>
        <v>0</v>
      </c>
      <c r="H255" s="708"/>
      <c r="I255" s="708"/>
      <c r="J255" s="708"/>
      <c r="K255" s="708"/>
      <c r="L255" s="1261"/>
      <c r="M255" s="1216"/>
      <c r="N255" s="1217"/>
      <c r="O255" s="1217"/>
      <c r="P255" s="1217"/>
      <c r="Q255" s="1217"/>
      <c r="R255" s="1217"/>
      <c r="S255" s="1217"/>
      <c r="T255" s="1217"/>
      <c r="U255" s="1217"/>
      <c r="V255" s="1217"/>
      <c r="W255" s="1217"/>
      <c r="X255" s="1217"/>
      <c r="Y255" s="1217"/>
      <c r="Z255" s="1217"/>
      <c r="AA255" s="1217"/>
      <c r="AB255" s="1217"/>
      <c r="AC255" s="1217"/>
      <c r="AD255" s="1217"/>
      <c r="AE255" s="1217"/>
      <c r="AF255" s="1217"/>
      <c r="AG255" s="1217"/>
      <c r="AH255" s="1217"/>
      <c r="AI255" s="1217"/>
      <c r="AJ255" s="1217"/>
      <c r="AK255" s="1217"/>
      <c r="AL255" s="1217"/>
      <c r="AM255" s="1217"/>
      <c r="AN255" s="1217"/>
      <c r="AO255" s="1217"/>
      <c r="AP255" s="1217"/>
      <c r="AQ255" s="1217"/>
      <c r="AR255" s="1217"/>
      <c r="AS255" s="1217"/>
      <c r="AT255" s="708"/>
      <c r="AU255" s="708"/>
      <c r="AV255" s="708"/>
      <c r="AW255" s="708"/>
      <c r="AX255" s="708"/>
      <c r="AY255" s="708"/>
      <c r="AZ255" s="708"/>
      <c r="BA255" s="208"/>
      <c r="BB255" s="208"/>
      <c r="BC255" s="208"/>
      <c r="BD255" s="208"/>
      <c r="BE255" s="208"/>
      <c r="BF255" s="208"/>
      <c r="BG255" s="1184"/>
      <c r="BH255" s="1184"/>
      <c r="BI255" s="1184"/>
      <c r="BJ255" s="1184"/>
      <c r="BK255" s="1184"/>
      <c r="BL255" s="1184"/>
      <c r="BM255" s="1184"/>
      <c r="BN255" s="1184"/>
      <c r="BO255" s="1184"/>
      <c r="BP255" s="1184"/>
      <c r="BQ255" s="1184"/>
      <c r="BR255" s="1184"/>
      <c r="BS255" s="1184"/>
      <c r="BT255" s="1184"/>
      <c r="BU255" s="1184"/>
      <c r="BV255" s="1184"/>
      <c r="BW255" s="1184"/>
      <c r="BX255" s="1184"/>
      <c r="BY255" s="1184"/>
      <c r="BZ255" s="208"/>
      <c r="CA255" s="208"/>
      <c r="CB255" s="208"/>
      <c r="CC255" s="208"/>
      <c r="CD255" s="211"/>
    </row>
    <row r="256" ht="18" customHeight="1">
      <c r="A256" s="1216"/>
      <c r="B256" s="1217"/>
      <c r="C256" t="s" s="1221">
        <v>1127</v>
      </c>
      <c r="D256" s="1217"/>
      <c r="E256" t="s" s="1247">
        <v>1124</v>
      </c>
      <c r="F256" s="1257"/>
      <c r="G256" s="1258">
        <f>D256*F256</f>
        <v>0</v>
      </c>
      <c r="H256" s="1217"/>
      <c r="I256" s="1217"/>
      <c r="J256" s="1217"/>
      <c r="K256" s="1217"/>
      <c r="L256" s="1220"/>
      <c r="M256" s="1216"/>
      <c r="N256" s="1217"/>
      <c r="O256" s="1217"/>
      <c r="P256" s="1217"/>
      <c r="Q256" s="1217"/>
      <c r="R256" s="1217"/>
      <c r="S256" s="1217"/>
      <c r="T256" s="1217"/>
      <c r="U256" s="1217"/>
      <c r="V256" s="1217"/>
      <c r="W256" s="1217"/>
      <c r="X256" s="1217"/>
      <c r="Y256" s="1217"/>
      <c r="Z256" s="1217"/>
      <c r="AA256" s="1217"/>
      <c r="AB256" s="1217"/>
      <c r="AC256" s="1217"/>
      <c r="AD256" s="1217"/>
      <c r="AE256" s="1217"/>
      <c r="AF256" s="1217"/>
      <c r="AG256" s="1217"/>
      <c r="AH256" s="1217"/>
      <c r="AI256" s="1217"/>
      <c r="AJ256" s="1217"/>
      <c r="AK256" s="1217"/>
      <c r="AL256" s="1217"/>
      <c r="AM256" s="1217"/>
      <c r="AN256" s="1217"/>
      <c r="AO256" s="1217"/>
      <c r="AP256" s="1217"/>
      <c r="AQ256" s="1217"/>
      <c r="AR256" s="1217"/>
      <c r="AS256" s="1217"/>
      <c r="AT256" s="708"/>
      <c r="AU256" s="708"/>
      <c r="AV256" s="708"/>
      <c r="AW256" s="708"/>
      <c r="AX256" s="708"/>
      <c r="AY256" s="708"/>
      <c r="AZ256" s="708"/>
      <c r="BA256" s="208"/>
      <c r="BB256" s="208"/>
      <c r="BC256" s="208"/>
      <c r="BD256" s="208"/>
      <c r="BE256" s="208"/>
      <c r="BF256" s="208"/>
      <c r="BG256" s="1184"/>
      <c r="BH256" s="1184"/>
      <c r="BI256" s="1184"/>
      <c r="BJ256" s="1184"/>
      <c r="BK256" s="1184"/>
      <c r="BL256" s="1184"/>
      <c r="BM256" s="1184"/>
      <c r="BN256" s="1184"/>
      <c r="BO256" s="1184"/>
      <c r="BP256" s="1184"/>
      <c r="BQ256" s="1184"/>
      <c r="BR256" s="1184"/>
      <c r="BS256" s="1184"/>
      <c r="BT256" s="1184"/>
      <c r="BU256" s="1184"/>
      <c r="BV256" s="1184"/>
      <c r="BW256" s="1184"/>
      <c r="BX256" s="1184"/>
      <c r="BY256" s="1184"/>
      <c r="BZ256" s="208"/>
      <c r="CA256" s="208"/>
      <c r="CB256" s="208"/>
      <c r="CC256" s="208"/>
      <c r="CD256" s="211"/>
    </row>
    <row r="257" ht="18" customHeight="1">
      <c r="A257" s="1216"/>
      <c r="B257" s="1217"/>
      <c r="C257" t="s" s="1221">
        <v>1123</v>
      </c>
      <c r="D257" s="1242"/>
      <c r="E257" t="s" s="1247">
        <v>1124</v>
      </c>
      <c r="F257" s="1257"/>
      <c r="G257" s="1262">
        <f>D257*F257</f>
        <v>0</v>
      </c>
      <c r="H257" s="1263"/>
      <c r="I257" s="1223"/>
      <c r="J257" s="1251"/>
      <c r="K257" s="1264"/>
      <c r="L257" s="1220"/>
      <c r="M257" s="1216"/>
      <c r="N257" s="1217"/>
      <c r="O257" s="1217"/>
      <c r="P257" s="1217"/>
      <c r="Q257" s="1217"/>
      <c r="R257" s="1217"/>
      <c r="S257" s="1217"/>
      <c r="T257" s="1217"/>
      <c r="U257" s="1217"/>
      <c r="V257" s="1217"/>
      <c r="W257" s="1217"/>
      <c r="X257" s="1217"/>
      <c r="Y257" s="1217"/>
      <c r="Z257" s="1217"/>
      <c r="AA257" s="1217"/>
      <c r="AB257" s="1217"/>
      <c r="AC257" s="1217"/>
      <c r="AD257" s="1217"/>
      <c r="AE257" s="1217"/>
      <c r="AF257" s="1217"/>
      <c r="AG257" s="1217"/>
      <c r="AH257" s="1217"/>
      <c r="AI257" s="1217"/>
      <c r="AJ257" s="1217"/>
      <c r="AK257" s="1217"/>
      <c r="AL257" s="1217"/>
      <c r="AM257" s="1217"/>
      <c r="AN257" s="1217"/>
      <c r="AO257" s="1217"/>
      <c r="AP257" s="1217"/>
      <c r="AQ257" s="1217"/>
      <c r="AR257" s="1217"/>
      <c r="AS257" s="1217"/>
      <c r="AT257" s="708"/>
      <c r="AU257" s="708"/>
      <c r="AV257" s="708"/>
      <c r="AW257" s="708"/>
      <c r="AX257" s="708"/>
      <c r="AY257" s="708"/>
      <c r="AZ257" s="708"/>
      <c r="BA257" s="208"/>
      <c r="BB257" s="208"/>
      <c r="BC257" s="208"/>
      <c r="BD257" s="208"/>
      <c r="BE257" s="208"/>
      <c r="BF257" s="208"/>
      <c r="BG257" s="1184"/>
      <c r="BH257" s="1184"/>
      <c r="BI257" s="1184"/>
      <c r="BJ257" s="1184"/>
      <c r="BK257" s="1184"/>
      <c r="BL257" s="1184"/>
      <c r="BM257" s="1184"/>
      <c r="BN257" s="1184"/>
      <c r="BO257" s="1184"/>
      <c r="BP257" s="1184"/>
      <c r="BQ257" s="1184"/>
      <c r="BR257" s="1184"/>
      <c r="BS257" s="1184"/>
      <c r="BT257" s="1184"/>
      <c r="BU257" s="1184"/>
      <c r="BV257" s="1184"/>
      <c r="BW257" s="1184"/>
      <c r="BX257" s="1184"/>
      <c r="BY257" s="1184"/>
      <c r="BZ257" s="208"/>
      <c r="CA257" s="208"/>
      <c r="CB257" s="208"/>
      <c r="CC257" s="208"/>
      <c r="CD257" s="211"/>
    </row>
    <row r="258" ht="18" customHeight="1">
      <c r="A258" s="1216"/>
      <c r="B258" s="1217"/>
      <c r="C258" s="1217"/>
      <c r="D258" s="1265">
        <f>SUM(D251:D257)</f>
        <v>0</v>
      </c>
      <c r="E258" s="1217"/>
      <c r="F258" s="1214"/>
      <c r="G258" s="1266">
        <f>SUM(G251:G257)</f>
        <v>0</v>
      </c>
      <c r="H258" t="s" s="1230">
        <v>1128</v>
      </c>
      <c r="I258" s="1223">
        <f>D258</f>
        <v>0</v>
      </c>
      <c r="J258" t="s" s="1267">
        <v>1129</v>
      </c>
      <c r="K258" s="1268">
        <f>G258/I258</f>
      </c>
      <c r="L258" t="s" s="1247">
        <v>1121</v>
      </c>
      <c r="M258" s="1216"/>
      <c r="N258" s="1217"/>
      <c r="O258" s="1217"/>
      <c r="P258" s="1217"/>
      <c r="Q258" s="1217"/>
      <c r="R258" s="1217"/>
      <c r="S258" s="1217"/>
      <c r="T258" s="1217"/>
      <c r="U258" s="1217"/>
      <c r="V258" s="1217"/>
      <c r="W258" s="1217"/>
      <c r="X258" s="1217"/>
      <c r="Y258" s="1217"/>
      <c r="Z258" s="1217"/>
      <c r="AA258" s="1217"/>
      <c r="AB258" s="1217"/>
      <c r="AC258" s="1217"/>
      <c r="AD258" s="1217"/>
      <c r="AE258" s="1217"/>
      <c r="AF258" s="1217"/>
      <c r="AG258" s="1217"/>
      <c r="AH258" s="1217"/>
      <c r="AI258" s="1217"/>
      <c r="AJ258" s="1217"/>
      <c r="AK258" s="1217"/>
      <c r="AL258" s="1217"/>
      <c r="AM258" s="1217"/>
      <c r="AN258" s="1217"/>
      <c r="AO258" s="1217"/>
      <c r="AP258" s="1217"/>
      <c r="AQ258" s="1217"/>
      <c r="AR258" s="1217"/>
      <c r="AS258" s="1217"/>
      <c r="AT258" s="708"/>
      <c r="AU258" s="708"/>
      <c r="AV258" s="708"/>
      <c r="AW258" s="708"/>
      <c r="AX258" s="708"/>
      <c r="AY258" s="708"/>
      <c r="AZ258" s="708"/>
      <c r="BA258" s="208"/>
      <c r="BB258" s="208"/>
      <c r="BC258" s="208"/>
      <c r="BD258" s="208"/>
      <c r="BE258" s="208"/>
      <c r="BF258" s="208"/>
      <c r="BG258" s="1184"/>
      <c r="BH258" s="1184"/>
      <c r="BI258" s="1184"/>
      <c r="BJ258" s="1184"/>
      <c r="BK258" s="1184"/>
      <c r="BL258" s="1184"/>
      <c r="BM258" s="1184"/>
      <c r="BN258" s="1184"/>
      <c r="BO258" s="1184"/>
      <c r="BP258" s="1184"/>
      <c r="BQ258" s="1184"/>
      <c r="BR258" s="1184"/>
      <c r="BS258" s="1184"/>
      <c r="BT258" s="1184"/>
      <c r="BU258" s="1184"/>
      <c r="BV258" s="1184"/>
      <c r="BW258" s="1184"/>
      <c r="BX258" s="1184"/>
      <c r="BY258" s="1184"/>
      <c r="BZ258" s="208"/>
      <c r="CA258" s="208"/>
      <c r="CB258" s="208"/>
      <c r="CC258" s="208"/>
      <c r="CD258" s="211"/>
    </row>
    <row r="259" ht="18" customHeight="1">
      <c r="A259" s="1269"/>
      <c r="B259" s="1242"/>
      <c r="C259" s="1242"/>
      <c r="D259" s="1255"/>
      <c r="E259" s="1242"/>
      <c r="F259" s="1242"/>
      <c r="G259" s="1255"/>
      <c r="H259" s="1242"/>
      <c r="I259" s="1242"/>
      <c r="J259" s="1242"/>
      <c r="K259" s="1242"/>
      <c r="L259" s="1270"/>
      <c r="M259" s="1216"/>
      <c r="N259" s="1217"/>
      <c r="O259" s="1238"/>
      <c r="P259" t="s" s="1221">
        <v>1130</v>
      </c>
      <c r="Q259" s="1238"/>
      <c r="R259" s="1238"/>
      <c r="S259" s="1238"/>
      <c r="T259" s="1238"/>
      <c r="U259" s="1238"/>
      <c r="V259" s="1238"/>
      <c r="W259" s="1238"/>
      <c r="X259" s="1238"/>
      <c r="Y259" s="1238"/>
      <c r="Z259" s="1238"/>
      <c r="AA259" s="1238"/>
      <c r="AB259" s="1238"/>
      <c r="AC259" s="1238"/>
      <c r="AD259" s="1217"/>
      <c r="AE259" s="1217"/>
      <c r="AF259" s="1217"/>
      <c r="AG259" s="1217"/>
      <c r="AH259" s="1217"/>
      <c r="AI259" s="1217"/>
      <c r="AJ259" s="1217"/>
      <c r="AK259" s="1217"/>
      <c r="AL259" s="1217"/>
      <c r="AM259" s="1217"/>
      <c r="AN259" s="1217"/>
      <c r="AO259" s="1217"/>
      <c r="AP259" s="1217"/>
      <c r="AQ259" s="1217"/>
      <c r="AR259" s="1217"/>
      <c r="AS259" s="1217"/>
      <c r="AT259" s="708"/>
      <c r="AU259" s="708"/>
      <c r="AV259" s="708"/>
      <c r="AW259" s="708"/>
      <c r="AX259" s="708"/>
      <c r="AY259" s="708"/>
      <c r="AZ259" s="708"/>
      <c r="BA259" s="208"/>
      <c r="BB259" s="208"/>
      <c r="BC259" s="208"/>
      <c r="BD259" s="208"/>
      <c r="BE259" s="208"/>
      <c r="BF259" s="208"/>
      <c r="BG259" s="1184"/>
      <c r="BH259" s="1184"/>
      <c r="BI259" s="1184"/>
      <c r="BJ259" s="1184"/>
      <c r="BK259" s="1184"/>
      <c r="BL259" s="1184"/>
      <c r="BM259" s="1184"/>
      <c r="BN259" s="1184"/>
      <c r="BO259" s="1184"/>
      <c r="BP259" s="1184"/>
      <c r="BQ259" s="1184"/>
      <c r="BR259" s="1184"/>
      <c r="BS259" s="1184"/>
      <c r="BT259" s="1184"/>
      <c r="BU259" s="1184"/>
      <c r="BV259" s="1184"/>
      <c r="BW259" s="1184"/>
      <c r="BX259" s="1184"/>
      <c r="BY259" s="1184"/>
      <c r="BZ259" s="208"/>
      <c r="CA259" s="208"/>
      <c r="CB259" s="208"/>
      <c r="CC259" s="208"/>
      <c r="CD259" s="211"/>
    </row>
    <row r="260" ht="18" customHeight="1">
      <c r="A260" s="1271"/>
      <c r="B260" s="1214"/>
      <c r="C260" s="1214"/>
      <c r="D260" s="1214"/>
      <c r="E260" s="1214"/>
      <c r="F260" s="1214"/>
      <c r="G260" s="1214"/>
      <c r="H260" s="1214"/>
      <c r="I260" s="1214"/>
      <c r="J260" s="1214"/>
      <c r="K260" s="1214"/>
      <c r="L260" s="1214"/>
      <c r="M260" s="1217"/>
      <c r="N260" s="1217"/>
      <c r="O260" s="1238"/>
      <c r="P260" s="1217"/>
      <c r="Q260" s="1238"/>
      <c r="R260" s="1238"/>
      <c r="S260" s="1238"/>
      <c r="T260" s="1238"/>
      <c r="U260" s="1238"/>
      <c r="V260" s="1238"/>
      <c r="W260" s="1238"/>
      <c r="X260" s="1238"/>
      <c r="Y260" s="1238"/>
      <c r="Z260" s="1238"/>
      <c r="AA260" s="1238"/>
      <c r="AB260" s="1238"/>
      <c r="AC260" s="1238"/>
      <c r="AD260" s="1217"/>
      <c r="AE260" s="1217"/>
      <c r="AF260" s="1217"/>
      <c r="AG260" s="1217"/>
      <c r="AH260" s="1217"/>
      <c r="AI260" s="1217"/>
      <c r="AJ260" s="1217"/>
      <c r="AK260" s="1217"/>
      <c r="AL260" s="1217"/>
      <c r="AM260" s="1217"/>
      <c r="AN260" s="1217"/>
      <c r="AO260" s="1217"/>
      <c r="AP260" s="1217"/>
      <c r="AQ260" s="1217"/>
      <c r="AR260" s="1217"/>
      <c r="AS260" s="1217"/>
      <c r="AT260" s="708"/>
      <c r="AU260" s="708"/>
      <c r="AV260" s="708"/>
      <c r="AW260" s="708"/>
      <c r="AX260" s="708"/>
      <c r="AY260" s="708"/>
      <c r="AZ260" s="708"/>
      <c r="BA260" s="208"/>
      <c r="BB260" s="208"/>
      <c r="BC260" s="208"/>
      <c r="BD260" s="208"/>
      <c r="BE260" s="208"/>
      <c r="BF260" s="208"/>
      <c r="BG260" s="1184"/>
      <c r="BH260" s="1184"/>
      <c r="BI260" s="1184"/>
      <c r="BJ260" s="1184"/>
      <c r="BK260" s="1184"/>
      <c r="BL260" s="1184"/>
      <c r="BM260" s="1184"/>
      <c r="BN260" s="1184"/>
      <c r="BO260" s="1184"/>
      <c r="BP260" s="1184"/>
      <c r="BQ260" s="1184"/>
      <c r="BR260" s="1184"/>
      <c r="BS260" s="1184"/>
      <c r="BT260" s="1184"/>
      <c r="BU260" s="1184"/>
      <c r="BV260" s="1184"/>
      <c r="BW260" s="1184"/>
      <c r="BX260" s="1184"/>
      <c r="BY260" s="1184"/>
      <c r="BZ260" s="208"/>
      <c r="CA260" s="208"/>
      <c r="CB260" s="208"/>
      <c r="CC260" s="208"/>
      <c r="CD260" s="211"/>
    </row>
    <row r="261" ht="18" customHeight="1">
      <c r="A261" s="1272"/>
      <c r="B261" s="1217"/>
      <c r="C261" s="1217"/>
      <c r="D261" s="1217"/>
      <c r="E261" s="1217"/>
      <c r="F261" s="1217"/>
      <c r="G261" s="1217"/>
      <c r="H261" s="1217"/>
      <c r="I261" s="1217"/>
      <c r="J261" s="1217"/>
      <c r="K261" s="1217"/>
      <c r="L261" s="1217"/>
      <c r="M261" s="1217"/>
      <c r="N261" s="1217"/>
      <c r="O261" t="s" s="1273">
        <v>1131</v>
      </c>
      <c r="P261" s="1221">
        <v>1</v>
      </c>
      <c r="Q261" s="1221">
        <v>2</v>
      </c>
      <c r="R261" s="1221">
        <v>3</v>
      </c>
      <c r="S261" s="1221">
        <v>4</v>
      </c>
      <c r="T261" s="1221">
        <v>5</v>
      </c>
      <c r="U261" s="1221">
        <v>6</v>
      </c>
      <c r="V261" s="1221">
        <v>7</v>
      </c>
      <c r="W261" s="1221">
        <v>8</v>
      </c>
      <c r="X261" s="1221">
        <v>9</v>
      </c>
      <c r="Y261" s="1221">
        <v>10</v>
      </c>
      <c r="Z261" s="1221">
        <v>11</v>
      </c>
      <c r="AA261" s="1221">
        <v>12</v>
      </c>
      <c r="AB261" s="1221">
        <v>13</v>
      </c>
      <c r="AC261" s="1221">
        <v>14</v>
      </c>
      <c r="AD261" s="1221">
        <v>15</v>
      </c>
      <c r="AE261" s="1274">
        <v>16</v>
      </c>
      <c r="AF261" s="1221">
        <v>17</v>
      </c>
      <c r="AG261" s="1221">
        <v>18</v>
      </c>
      <c r="AH261" s="1221">
        <v>19</v>
      </c>
      <c r="AI261" s="1221">
        <v>20</v>
      </c>
      <c r="AJ261" s="1221">
        <v>21</v>
      </c>
      <c r="AK261" s="1221">
        <v>22</v>
      </c>
      <c r="AL261" s="1221">
        <v>23</v>
      </c>
      <c r="AM261" s="1221">
        <v>24</v>
      </c>
      <c r="AN261" s="1221">
        <v>25</v>
      </c>
      <c r="AO261" s="1221">
        <v>26</v>
      </c>
      <c r="AP261" s="1221">
        <v>27</v>
      </c>
      <c r="AQ261" s="1221">
        <v>28</v>
      </c>
      <c r="AR261" s="1221">
        <v>29</v>
      </c>
      <c r="AS261" s="1221">
        <v>30</v>
      </c>
      <c r="AT261" s="1221">
        <v>31</v>
      </c>
      <c r="AU261" s="1221">
        <v>32</v>
      </c>
      <c r="AV261" s="1221">
        <v>33</v>
      </c>
      <c r="AW261" s="1221">
        <v>34</v>
      </c>
      <c r="AX261" s="1221">
        <v>35</v>
      </c>
      <c r="AY261" s="1221">
        <v>36</v>
      </c>
      <c r="AZ261" s="1221">
        <v>37</v>
      </c>
      <c r="BA261" s="1275">
        <v>38</v>
      </c>
      <c r="BB261" s="1275">
        <v>39</v>
      </c>
      <c r="BC261" s="1275">
        <v>40</v>
      </c>
      <c r="BD261" s="1275">
        <v>41</v>
      </c>
      <c r="BE261" s="1275">
        <v>42</v>
      </c>
      <c r="BF261" s="1275">
        <v>43</v>
      </c>
      <c r="BG261" s="1276">
        <v>44</v>
      </c>
      <c r="BH261" s="1276">
        <v>45</v>
      </c>
      <c r="BI261" s="1276">
        <v>46</v>
      </c>
      <c r="BJ261" s="1276">
        <v>47</v>
      </c>
      <c r="BK261" s="1276">
        <v>48</v>
      </c>
      <c r="BL261" s="1276">
        <v>49</v>
      </c>
      <c r="BM261" s="1276">
        <v>50</v>
      </c>
      <c r="BN261" s="1276">
        <v>51</v>
      </c>
      <c r="BO261" s="1276">
        <v>52</v>
      </c>
      <c r="BP261" s="1276">
        <v>53</v>
      </c>
      <c r="BQ261" s="1276">
        <v>54</v>
      </c>
      <c r="BR261" s="1276">
        <v>55</v>
      </c>
      <c r="BS261" s="1276">
        <v>56</v>
      </c>
      <c r="BT261" s="1276">
        <v>57</v>
      </c>
      <c r="BU261" s="1276">
        <v>58</v>
      </c>
      <c r="BV261" s="1276">
        <v>59</v>
      </c>
      <c r="BW261" s="1276">
        <v>60</v>
      </c>
      <c r="BX261" s="1276">
        <v>61</v>
      </c>
      <c r="BY261" s="1276">
        <v>62</v>
      </c>
      <c r="BZ261" s="1276">
        <v>63</v>
      </c>
      <c r="CA261" s="208"/>
      <c r="CB261" s="208"/>
      <c r="CC261" s="208"/>
      <c r="CD261" s="211"/>
    </row>
    <row r="262" ht="18" customHeight="1">
      <c r="A262" s="1272"/>
      <c r="B262" s="1217"/>
      <c r="C262" s="1217"/>
      <c r="D262" s="1217"/>
      <c r="E262" s="1217"/>
      <c r="F262" s="1217"/>
      <c r="G262" s="1217"/>
      <c r="H262" s="1217"/>
      <c r="I262" s="1217"/>
      <c r="J262" s="1217"/>
      <c r="K262" s="1217"/>
      <c r="L262" s="1217"/>
      <c r="M262" s="1217"/>
      <c r="N262" s="1217"/>
      <c r="O262" s="1221">
        <v>1</v>
      </c>
      <c r="P262" s="1233">
        <f t="shared" si="2900" ref="P262:AE277">$F$205</f>
        <v>0</v>
      </c>
      <c r="Q262" s="1221">
        <v>0</v>
      </c>
      <c r="R262" s="1221">
        <v>0</v>
      </c>
      <c r="S262" s="1221">
        <v>0</v>
      </c>
      <c r="T262" s="1221">
        <v>0</v>
      </c>
      <c r="U262" s="1221">
        <v>0</v>
      </c>
      <c r="V262" s="1221">
        <v>0</v>
      </c>
      <c r="W262" s="1221">
        <v>0</v>
      </c>
      <c r="X262" s="1221">
        <v>0</v>
      </c>
      <c r="Y262" s="1221">
        <v>0</v>
      </c>
      <c r="Z262" s="1221">
        <v>0</v>
      </c>
      <c r="AA262" s="1221">
        <v>0</v>
      </c>
      <c r="AB262" s="1221">
        <v>0</v>
      </c>
      <c r="AC262" s="1221">
        <v>0</v>
      </c>
      <c r="AD262" s="1221">
        <v>0</v>
      </c>
      <c r="AE262" s="1221">
        <v>0</v>
      </c>
      <c r="AF262" s="1221">
        <v>0</v>
      </c>
      <c r="AG262" s="1221">
        <v>0</v>
      </c>
      <c r="AH262" s="1221">
        <v>0</v>
      </c>
      <c r="AI262" s="1221">
        <v>0</v>
      </c>
      <c r="AJ262" s="1221">
        <v>0</v>
      </c>
      <c r="AK262" s="1221">
        <v>0</v>
      </c>
      <c r="AL262" s="1221">
        <v>0</v>
      </c>
      <c r="AM262" s="1221">
        <v>0</v>
      </c>
      <c r="AN262" s="1221">
        <v>0</v>
      </c>
      <c r="AO262" s="1221">
        <v>0</v>
      </c>
      <c r="AP262" s="1221">
        <v>0</v>
      </c>
      <c r="AQ262" s="1221">
        <v>0</v>
      </c>
      <c r="AR262" s="1221">
        <v>0</v>
      </c>
      <c r="AS262" s="1221">
        <v>0</v>
      </c>
      <c r="AT262" s="1221">
        <v>0</v>
      </c>
      <c r="AU262" s="1221">
        <v>0</v>
      </c>
      <c r="AV262" s="1221">
        <v>0</v>
      </c>
      <c r="AW262" s="1221">
        <v>0</v>
      </c>
      <c r="AX262" s="1221">
        <v>0</v>
      </c>
      <c r="AY262" s="1221">
        <v>0</v>
      </c>
      <c r="AZ262" s="1221">
        <v>0</v>
      </c>
      <c r="BA262" s="1221">
        <v>0</v>
      </c>
      <c r="BB262" s="1221">
        <v>0</v>
      </c>
      <c r="BC262" s="1221">
        <v>0</v>
      </c>
      <c r="BD262" s="1221">
        <v>0</v>
      </c>
      <c r="BE262" s="1221">
        <v>0</v>
      </c>
      <c r="BF262" s="1221">
        <v>0</v>
      </c>
      <c r="BG262" s="1221">
        <v>0</v>
      </c>
      <c r="BH262" s="1221">
        <v>0</v>
      </c>
      <c r="BI262" s="1221">
        <v>0</v>
      </c>
      <c r="BJ262" s="1221">
        <v>0</v>
      </c>
      <c r="BK262" s="1221">
        <v>0</v>
      </c>
      <c r="BL262" s="1221">
        <v>0</v>
      </c>
      <c r="BM262" s="1221">
        <v>0</v>
      </c>
      <c r="BN262" s="1221">
        <v>0</v>
      </c>
      <c r="BO262" s="1221">
        <v>0</v>
      </c>
      <c r="BP262" s="1184"/>
      <c r="BQ262" s="1184"/>
      <c r="BR262" s="1184"/>
      <c r="BS262" s="1184"/>
      <c r="BT262" s="1184"/>
      <c r="BU262" s="1184"/>
      <c r="BV262" s="1184"/>
      <c r="BW262" s="1184"/>
      <c r="BX262" s="1184"/>
      <c r="BY262" s="1184"/>
      <c r="BZ262" s="208"/>
      <c r="CA262" s="208"/>
      <c r="CB262" s="208"/>
      <c r="CC262" s="208"/>
      <c r="CD262" s="211"/>
    </row>
    <row r="263" ht="18" customHeight="1">
      <c r="A263" s="1272"/>
      <c r="B263" s="1217"/>
      <c r="C263" s="1217"/>
      <c r="D263" s="1217"/>
      <c r="E263" s="1217"/>
      <c r="F263" s="1217"/>
      <c r="G263" s="1217"/>
      <c r="H263" s="1217"/>
      <c r="I263" s="1217"/>
      <c r="J263" s="1217"/>
      <c r="K263" s="1217"/>
      <c r="L263" s="1217"/>
      <c r="M263" s="1217"/>
      <c r="N263" s="1217"/>
      <c r="O263" s="1221">
        <v>2</v>
      </c>
      <c r="P263" s="1233">
        <f t="shared" si="2901" ref="P263:AE278">$F$206</f>
        <v>0</v>
      </c>
      <c r="Q263" s="1233">
        <f t="shared" si="2900"/>
        <v>0</v>
      </c>
      <c r="R263" s="1221">
        <v>0</v>
      </c>
      <c r="S263" s="1221">
        <v>0</v>
      </c>
      <c r="T263" s="1221">
        <v>0</v>
      </c>
      <c r="U263" s="1221">
        <v>0</v>
      </c>
      <c r="V263" s="1221">
        <v>0</v>
      </c>
      <c r="W263" s="1221">
        <v>0</v>
      </c>
      <c r="X263" s="1221">
        <v>0</v>
      </c>
      <c r="Y263" s="1221">
        <v>0</v>
      </c>
      <c r="Z263" s="1221">
        <v>0</v>
      </c>
      <c r="AA263" s="1221">
        <v>0</v>
      </c>
      <c r="AB263" s="1221">
        <v>0</v>
      </c>
      <c r="AC263" s="1221">
        <v>0</v>
      </c>
      <c r="AD263" s="1221">
        <v>0</v>
      </c>
      <c r="AE263" s="1221">
        <v>0</v>
      </c>
      <c r="AF263" s="1221">
        <v>0</v>
      </c>
      <c r="AG263" s="1221">
        <v>0</v>
      </c>
      <c r="AH263" s="1221">
        <v>0</v>
      </c>
      <c r="AI263" s="1221">
        <v>0</v>
      </c>
      <c r="AJ263" s="1221">
        <v>0</v>
      </c>
      <c r="AK263" s="1221">
        <v>0</v>
      </c>
      <c r="AL263" s="1221">
        <v>0</v>
      </c>
      <c r="AM263" s="1221">
        <v>0</v>
      </c>
      <c r="AN263" s="1221">
        <v>0</v>
      </c>
      <c r="AO263" s="1221">
        <v>0</v>
      </c>
      <c r="AP263" s="1221">
        <v>0</v>
      </c>
      <c r="AQ263" s="1221">
        <v>0</v>
      </c>
      <c r="AR263" s="1221">
        <v>0</v>
      </c>
      <c r="AS263" s="1221">
        <v>0</v>
      </c>
      <c r="AT263" s="1221">
        <v>0</v>
      </c>
      <c r="AU263" s="1221">
        <v>0</v>
      </c>
      <c r="AV263" s="1221">
        <v>0</v>
      </c>
      <c r="AW263" s="1221">
        <v>0</v>
      </c>
      <c r="AX263" s="1221">
        <v>0</v>
      </c>
      <c r="AY263" s="1221">
        <v>0</v>
      </c>
      <c r="AZ263" s="1221">
        <v>0</v>
      </c>
      <c r="BA263" s="1221">
        <v>0</v>
      </c>
      <c r="BB263" s="1221">
        <v>0</v>
      </c>
      <c r="BC263" s="1221">
        <v>0</v>
      </c>
      <c r="BD263" s="1221">
        <v>0</v>
      </c>
      <c r="BE263" s="1221">
        <v>0</v>
      </c>
      <c r="BF263" s="1221">
        <v>0</v>
      </c>
      <c r="BG263" s="1221">
        <v>0</v>
      </c>
      <c r="BH263" s="1221">
        <v>0</v>
      </c>
      <c r="BI263" s="1221">
        <v>0</v>
      </c>
      <c r="BJ263" s="1221">
        <v>0</v>
      </c>
      <c r="BK263" s="1221">
        <v>0</v>
      </c>
      <c r="BL263" s="1221">
        <v>0</v>
      </c>
      <c r="BM263" s="1221">
        <v>0</v>
      </c>
      <c r="BN263" s="1221">
        <v>0</v>
      </c>
      <c r="BO263" s="1221">
        <v>0</v>
      </c>
      <c r="BP263" s="1184"/>
      <c r="BQ263" s="1184"/>
      <c r="BR263" s="1184"/>
      <c r="BS263" s="1184"/>
      <c r="BT263" s="1184"/>
      <c r="BU263" s="1184"/>
      <c r="BV263" s="1184"/>
      <c r="BW263" s="1184"/>
      <c r="BX263" s="1184"/>
      <c r="BY263" s="1184"/>
      <c r="BZ263" s="208"/>
      <c r="CA263" s="208"/>
      <c r="CB263" s="208"/>
      <c r="CC263" s="208"/>
      <c r="CD263" s="211"/>
    </row>
    <row r="264" ht="18" customHeight="1">
      <c r="A264" s="1272"/>
      <c r="B264" s="1217"/>
      <c r="C264" s="1217"/>
      <c r="D264" s="1217"/>
      <c r="E264" s="1217"/>
      <c r="F264" s="1217"/>
      <c r="G264" s="1217"/>
      <c r="H264" s="1217"/>
      <c r="I264" s="1217"/>
      <c r="J264" s="1217"/>
      <c r="K264" s="1217"/>
      <c r="L264" s="1217"/>
      <c r="M264" s="1217"/>
      <c r="N264" s="1217"/>
      <c r="O264" s="1221">
        <v>3</v>
      </c>
      <c r="P264" s="1233">
        <f t="shared" si="2903" ref="P264:AE279">$F$207</f>
        <v>0</v>
      </c>
      <c r="Q264" s="1233">
        <f t="shared" si="2901"/>
        <v>0</v>
      </c>
      <c r="R264" s="1233">
        <f t="shared" si="2900"/>
        <v>0</v>
      </c>
      <c r="S264" s="1221">
        <v>0</v>
      </c>
      <c r="T264" s="1221">
        <v>0</v>
      </c>
      <c r="U264" s="1221">
        <v>0</v>
      </c>
      <c r="V264" s="1221">
        <v>0</v>
      </c>
      <c r="W264" s="1221">
        <v>0</v>
      </c>
      <c r="X264" s="1221">
        <v>0</v>
      </c>
      <c r="Y264" s="1221">
        <v>0</v>
      </c>
      <c r="Z264" s="1221">
        <v>0</v>
      </c>
      <c r="AA264" s="1221">
        <v>0</v>
      </c>
      <c r="AB264" s="1221">
        <v>0</v>
      </c>
      <c r="AC264" s="1221">
        <v>0</v>
      </c>
      <c r="AD264" s="1221">
        <v>0</v>
      </c>
      <c r="AE264" s="1221">
        <v>0</v>
      </c>
      <c r="AF264" s="1221">
        <v>0</v>
      </c>
      <c r="AG264" s="1221">
        <v>0</v>
      </c>
      <c r="AH264" s="1221">
        <v>0</v>
      </c>
      <c r="AI264" s="1221">
        <v>0</v>
      </c>
      <c r="AJ264" s="1221">
        <v>0</v>
      </c>
      <c r="AK264" s="1221">
        <v>0</v>
      </c>
      <c r="AL264" s="1221">
        <v>0</v>
      </c>
      <c r="AM264" s="1221">
        <v>0</v>
      </c>
      <c r="AN264" s="1221">
        <v>0</v>
      </c>
      <c r="AO264" s="1221">
        <v>0</v>
      </c>
      <c r="AP264" s="1221">
        <v>0</v>
      </c>
      <c r="AQ264" s="1221">
        <v>0</v>
      </c>
      <c r="AR264" s="1221">
        <v>0</v>
      </c>
      <c r="AS264" s="1221">
        <v>0</v>
      </c>
      <c r="AT264" s="1221">
        <v>0</v>
      </c>
      <c r="AU264" s="1221">
        <v>0</v>
      </c>
      <c r="AV264" s="1221">
        <v>0</v>
      </c>
      <c r="AW264" s="1221">
        <v>0</v>
      </c>
      <c r="AX264" s="1221">
        <v>0</v>
      </c>
      <c r="AY264" s="1221">
        <v>0</v>
      </c>
      <c r="AZ264" s="1221">
        <v>0</v>
      </c>
      <c r="BA264" s="1221">
        <v>0</v>
      </c>
      <c r="BB264" s="1221">
        <v>0</v>
      </c>
      <c r="BC264" s="1221">
        <v>0</v>
      </c>
      <c r="BD264" s="1221">
        <v>0</v>
      </c>
      <c r="BE264" s="1221">
        <v>0</v>
      </c>
      <c r="BF264" s="1221">
        <v>0</v>
      </c>
      <c r="BG264" s="1221">
        <v>0</v>
      </c>
      <c r="BH264" s="1221">
        <v>0</v>
      </c>
      <c r="BI264" s="1221">
        <v>0</v>
      </c>
      <c r="BJ264" s="1221">
        <v>0</v>
      </c>
      <c r="BK264" s="1221">
        <v>0</v>
      </c>
      <c r="BL264" s="1221">
        <v>0</v>
      </c>
      <c r="BM264" s="1221">
        <v>0</v>
      </c>
      <c r="BN264" s="1221">
        <v>0</v>
      </c>
      <c r="BO264" s="1221">
        <v>0</v>
      </c>
      <c r="BP264" s="1184"/>
      <c r="BQ264" s="1184"/>
      <c r="BR264" s="1184"/>
      <c r="BS264" s="1184"/>
      <c r="BT264" s="1184"/>
      <c r="BU264" s="1184"/>
      <c r="BV264" s="1184"/>
      <c r="BW264" s="1184"/>
      <c r="BX264" s="1184"/>
      <c r="BY264" s="1184"/>
      <c r="BZ264" s="208"/>
      <c r="CA264" s="208"/>
      <c r="CB264" s="208"/>
      <c r="CC264" s="208"/>
      <c r="CD264" s="211"/>
    </row>
    <row r="265" ht="18" customHeight="1">
      <c r="A265" s="1272"/>
      <c r="B265" s="1217"/>
      <c r="C265" s="1217"/>
      <c r="D265" s="1217"/>
      <c r="E265" s="1217"/>
      <c r="F265" s="1217"/>
      <c r="G265" s="1217"/>
      <c r="H265" s="1217"/>
      <c r="I265" s="1217"/>
      <c r="J265" s="1217"/>
      <c r="K265" s="1217"/>
      <c r="L265" s="1217"/>
      <c r="M265" s="1217"/>
      <c r="N265" s="1217"/>
      <c r="O265" s="1221">
        <v>4</v>
      </c>
      <c r="P265" s="1233">
        <f t="shared" si="2906" ref="P265:AE280">$F$208</f>
        <v>0</v>
      </c>
      <c r="Q265" s="1233">
        <f t="shared" si="2903"/>
        <v>0</v>
      </c>
      <c r="R265" s="1233">
        <f t="shared" si="2901"/>
        <v>0</v>
      </c>
      <c r="S265" s="1233">
        <f t="shared" si="2900"/>
        <v>0</v>
      </c>
      <c r="T265" s="1221">
        <v>0</v>
      </c>
      <c r="U265" s="1221">
        <v>0</v>
      </c>
      <c r="V265" s="1221">
        <v>0</v>
      </c>
      <c r="W265" s="1221">
        <v>0</v>
      </c>
      <c r="X265" s="1221">
        <v>0</v>
      </c>
      <c r="Y265" s="1221">
        <v>0</v>
      </c>
      <c r="Z265" s="1221">
        <v>0</v>
      </c>
      <c r="AA265" s="1221">
        <v>0</v>
      </c>
      <c r="AB265" s="1221">
        <v>0</v>
      </c>
      <c r="AC265" s="1221">
        <v>0</v>
      </c>
      <c r="AD265" s="1221">
        <v>0</v>
      </c>
      <c r="AE265" s="1221">
        <v>0</v>
      </c>
      <c r="AF265" s="1221">
        <v>0</v>
      </c>
      <c r="AG265" s="1221">
        <v>0</v>
      </c>
      <c r="AH265" s="1221">
        <v>0</v>
      </c>
      <c r="AI265" s="1221">
        <v>0</v>
      </c>
      <c r="AJ265" s="1221">
        <v>0</v>
      </c>
      <c r="AK265" s="1221">
        <v>0</v>
      </c>
      <c r="AL265" s="1221">
        <v>0</v>
      </c>
      <c r="AM265" s="1221">
        <v>0</v>
      </c>
      <c r="AN265" s="1221">
        <v>0</v>
      </c>
      <c r="AO265" s="1221">
        <v>0</v>
      </c>
      <c r="AP265" s="1221">
        <v>0</v>
      </c>
      <c r="AQ265" s="1221">
        <v>0</v>
      </c>
      <c r="AR265" s="1221">
        <v>0</v>
      </c>
      <c r="AS265" s="1221">
        <v>0</v>
      </c>
      <c r="AT265" s="1221">
        <v>0</v>
      </c>
      <c r="AU265" s="1221">
        <v>0</v>
      </c>
      <c r="AV265" s="1221">
        <v>0</v>
      </c>
      <c r="AW265" s="1221">
        <v>0</v>
      </c>
      <c r="AX265" s="1221">
        <v>0</v>
      </c>
      <c r="AY265" s="1221">
        <v>0</v>
      </c>
      <c r="AZ265" s="1221">
        <v>0</v>
      </c>
      <c r="BA265" s="1221">
        <v>0</v>
      </c>
      <c r="BB265" s="1221">
        <v>0</v>
      </c>
      <c r="BC265" s="1221">
        <v>0</v>
      </c>
      <c r="BD265" s="1221">
        <v>0</v>
      </c>
      <c r="BE265" s="1221">
        <v>0</v>
      </c>
      <c r="BF265" s="1221">
        <v>0</v>
      </c>
      <c r="BG265" s="1221">
        <v>0</v>
      </c>
      <c r="BH265" s="1221">
        <v>0</v>
      </c>
      <c r="BI265" s="1221">
        <v>0</v>
      </c>
      <c r="BJ265" s="1221">
        <v>0</v>
      </c>
      <c r="BK265" s="1221">
        <v>0</v>
      </c>
      <c r="BL265" s="1221">
        <v>0</v>
      </c>
      <c r="BM265" s="1221">
        <v>0</v>
      </c>
      <c r="BN265" s="1221">
        <v>0</v>
      </c>
      <c r="BO265" s="1221">
        <v>0</v>
      </c>
      <c r="BP265" s="1184"/>
      <c r="BQ265" s="1184"/>
      <c r="BR265" s="1184"/>
      <c r="BS265" s="1184"/>
      <c r="BT265" s="1184"/>
      <c r="BU265" s="1184"/>
      <c r="BV265" s="1184"/>
      <c r="BW265" s="1184"/>
      <c r="BX265" s="1184"/>
      <c r="BY265" s="1184"/>
      <c r="BZ265" s="208"/>
      <c r="CA265" s="208"/>
      <c r="CB265" s="208"/>
      <c r="CC265" s="208"/>
      <c r="CD265" s="211"/>
    </row>
    <row r="266" ht="18" customHeight="1">
      <c r="A266" s="1277"/>
      <c r="B266" s="1242"/>
      <c r="C266" s="1242"/>
      <c r="D266" s="1242"/>
      <c r="E266" s="1242"/>
      <c r="F266" s="1242"/>
      <c r="G266" s="1242"/>
      <c r="H266" s="1242"/>
      <c r="I266" s="1242"/>
      <c r="J266" s="1242"/>
      <c r="K266" s="1242"/>
      <c r="L266" s="1242"/>
      <c r="M266" s="1217"/>
      <c r="N266" s="1217"/>
      <c r="O266" s="1221">
        <v>5</v>
      </c>
      <c r="P266" s="1233">
        <f t="shared" si="2910" ref="P266:AE281">$F$209</f>
        <v>0</v>
      </c>
      <c r="Q266" s="1233">
        <f t="shared" si="2906"/>
        <v>0</v>
      </c>
      <c r="R266" s="1233">
        <f t="shared" si="2903"/>
        <v>0</v>
      </c>
      <c r="S266" s="1233">
        <f t="shared" si="2901"/>
        <v>0</v>
      </c>
      <c r="T266" s="1233">
        <f t="shared" si="2900"/>
        <v>0</v>
      </c>
      <c r="U266" s="1221">
        <v>0</v>
      </c>
      <c r="V266" s="1221">
        <v>0</v>
      </c>
      <c r="W266" s="1221">
        <v>0</v>
      </c>
      <c r="X266" s="1221">
        <v>0</v>
      </c>
      <c r="Y266" s="1221">
        <v>0</v>
      </c>
      <c r="Z266" s="1221">
        <v>0</v>
      </c>
      <c r="AA266" s="1221">
        <v>0</v>
      </c>
      <c r="AB266" s="1221">
        <v>0</v>
      </c>
      <c r="AC266" s="1221">
        <v>0</v>
      </c>
      <c r="AD266" s="1221">
        <v>0</v>
      </c>
      <c r="AE266" s="1221">
        <v>0</v>
      </c>
      <c r="AF266" s="1221">
        <v>0</v>
      </c>
      <c r="AG266" s="1221">
        <v>0</v>
      </c>
      <c r="AH266" s="1221">
        <v>0</v>
      </c>
      <c r="AI266" s="1221">
        <v>0</v>
      </c>
      <c r="AJ266" s="1221">
        <v>0</v>
      </c>
      <c r="AK266" s="1221">
        <v>0</v>
      </c>
      <c r="AL266" s="1221">
        <v>0</v>
      </c>
      <c r="AM266" s="1221">
        <v>0</v>
      </c>
      <c r="AN266" s="1221">
        <v>0</v>
      </c>
      <c r="AO266" s="1221">
        <v>0</v>
      </c>
      <c r="AP266" s="1221">
        <v>0</v>
      </c>
      <c r="AQ266" s="1221">
        <v>0</v>
      </c>
      <c r="AR266" s="1221">
        <v>0</v>
      </c>
      <c r="AS266" s="1221">
        <v>0</v>
      </c>
      <c r="AT266" s="1221">
        <v>0</v>
      </c>
      <c r="AU266" s="1221">
        <v>0</v>
      </c>
      <c r="AV266" s="1221">
        <v>0</v>
      </c>
      <c r="AW266" s="1221">
        <v>0</v>
      </c>
      <c r="AX266" s="1221">
        <v>0</v>
      </c>
      <c r="AY266" s="1221">
        <v>0</v>
      </c>
      <c r="AZ266" s="1221">
        <v>0</v>
      </c>
      <c r="BA266" s="1221">
        <v>0</v>
      </c>
      <c r="BB266" s="1221">
        <v>0</v>
      </c>
      <c r="BC266" s="1221">
        <v>0</v>
      </c>
      <c r="BD266" s="1221">
        <v>0</v>
      </c>
      <c r="BE266" s="1221">
        <v>0</v>
      </c>
      <c r="BF266" s="1221">
        <v>0</v>
      </c>
      <c r="BG266" s="1221">
        <v>0</v>
      </c>
      <c r="BH266" s="1221">
        <v>0</v>
      </c>
      <c r="BI266" s="1221">
        <v>0</v>
      </c>
      <c r="BJ266" s="1221">
        <v>0</v>
      </c>
      <c r="BK266" s="1221">
        <v>0</v>
      </c>
      <c r="BL266" s="1221">
        <v>0</v>
      </c>
      <c r="BM266" s="1221">
        <v>0</v>
      </c>
      <c r="BN266" s="1221">
        <v>0</v>
      </c>
      <c r="BO266" s="1221">
        <v>0</v>
      </c>
      <c r="BP266" s="1184"/>
      <c r="BQ266" s="1184"/>
      <c r="BR266" s="1184"/>
      <c r="BS266" s="1184"/>
      <c r="BT266" s="1184"/>
      <c r="BU266" s="1184"/>
      <c r="BV266" s="1184"/>
      <c r="BW266" s="1184"/>
      <c r="BX266" s="1184"/>
      <c r="BY266" s="1184"/>
      <c r="BZ266" s="208"/>
      <c r="CA266" s="208"/>
      <c r="CB266" s="208"/>
      <c r="CC266" s="208"/>
      <c r="CD266" s="211"/>
    </row>
    <row r="267" ht="18" customHeight="1">
      <c r="A267" s="1213"/>
      <c r="B267" s="1214"/>
      <c r="C267" s="1214"/>
      <c r="D267" s="1214"/>
      <c r="E267" s="1214"/>
      <c r="F267" s="1214"/>
      <c r="G267" s="1214"/>
      <c r="H267" s="1214"/>
      <c r="I267" s="1214"/>
      <c r="J267" s="1214"/>
      <c r="K267" s="1214"/>
      <c r="L267" s="1215"/>
      <c r="M267" s="1216"/>
      <c r="N267" s="1217"/>
      <c r="O267" s="1221">
        <v>6</v>
      </c>
      <c r="P267" s="1233">
        <f t="shared" si="2915" ref="P267:AE282">$F$210</f>
        <v>0</v>
      </c>
      <c r="Q267" s="1233">
        <f t="shared" si="2910"/>
        <v>0</v>
      </c>
      <c r="R267" s="1233">
        <f t="shared" si="2906"/>
        <v>0</v>
      </c>
      <c r="S267" s="1233">
        <f t="shared" si="2903"/>
        <v>0</v>
      </c>
      <c r="T267" s="1233">
        <f t="shared" si="2901"/>
        <v>0</v>
      </c>
      <c r="U267" s="1233">
        <f t="shared" si="2900"/>
        <v>0</v>
      </c>
      <c r="V267" s="1221">
        <v>0</v>
      </c>
      <c r="W267" s="1221">
        <v>0</v>
      </c>
      <c r="X267" s="1221">
        <v>0</v>
      </c>
      <c r="Y267" s="1221">
        <v>0</v>
      </c>
      <c r="Z267" s="1221">
        <v>0</v>
      </c>
      <c r="AA267" s="1221">
        <v>0</v>
      </c>
      <c r="AB267" s="1221">
        <v>0</v>
      </c>
      <c r="AC267" s="1221">
        <v>0</v>
      </c>
      <c r="AD267" s="1221">
        <v>0</v>
      </c>
      <c r="AE267" s="1221">
        <v>0</v>
      </c>
      <c r="AF267" s="1221">
        <v>0</v>
      </c>
      <c r="AG267" s="1221">
        <v>0</v>
      </c>
      <c r="AH267" s="1221">
        <v>0</v>
      </c>
      <c r="AI267" s="1221">
        <v>0</v>
      </c>
      <c r="AJ267" s="1221">
        <v>0</v>
      </c>
      <c r="AK267" s="1221">
        <v>0</v>
      </c>
      <c r="AL267" s="1221">
        <v>0</v>
      </c>
      <c r="AM267" s="1221">
        <v>0</v>
      </c>
      <c r="AN267" s="1221">
        <v>0</v>
      </c>
      <c r="AO267" s="1221">
        <v>0</v>
      </c>
      <c r="AP267" s="1221">
        <v>0</v>
      </c>
      <c r="AQ267" s="1221">
        <v>0</v>
      </c>
      <c r="AR267" s="1221">
        <v>0</v>
      </c>
      <c r="AS267" s="1221">
        <v>0</v>
      </c>
      <c r="AT267" s="1221">
        <v>0</v>
      </c>
      <c r="AU267" s="1221">
        <v>0</v>
      </c>
      <c r="AV267" s="1221">
        <v>0</v>
      </c>
      <c r="AW267" s="1221">
        <v>0</v>
      </c>
      <c r="AX267" s="1221">
        <v>0</v>
      </c>
      <c r="AY267" s="1221">
        <v>0</v>
      </c>
      <c r="AZ267" s="1221">
        <v>0</v>
      </c>
      <c r="BA267" s="1221">
        <v>0</v>
      </c>
      <c r="BB267" s="1221">
        <v>0</v>
      </c>
      <c r="BC267" s="1221">
        <v>0</v>
      </c>
      <c r="BD267" s="1221">
        <v>0</v>
      </c>
      <c r="BE267" s="1221">
        <v>0</v>
      </c>
      <c r="BF267" s="1221">
        <v>0</v>
      </c>
      <c r="BG267" s="1221">
        <v>0</v>
      </c>
      <c r="BH267" s="1221">
        <v>0</v>
      </c>
      <c r="BI267" s="1221">
        <v>0</v>
      </c>
      <c r="BJ267" s="1221">
        <v>0</v>
      </c>
      <c r="BK267" s="1221">
        <v>0</v>
      </c>
      <c r="BL267" s="1221">
        <v>0</v>
      </c>
      <c r="BM267" s="1221">
        <v>0</v>
      </c>
      <c r="BN267" s="1221">
        <v>0</v>
      </c>
      <c r="BO267" s="1221">
        <v>0</v>
      </c>
      <c r="BP267" s="1184"/>
      <c r="BQ267" s="1184"/>
      <c r="BR267" s="1184"/>
      <c r="BS267" s="1184"/>
      <c r="BT267" s="1184"/>
      <c r="BU267" s="1184"/>
      <c r="BV267" s="1184"/>
      <c r="BW267" s="1184"/>
      <c r="BX267" s="1184"/>
      <c r="BY267" s="1184"/>
      <c r="BZ267" s="208"/>
      <c r="CA267" s="208"/>
      <c r="CB267" s="208"/>
      <c r="CC267" s="208"/>
      <c r="CD267" s="211"/>
    </row>
    <row r="268" ht="18" customHeight="1">
      <c r="A268" s="1216"/>
      <c r="B268" t="s" s="1218">
        <v>1112</v>
      </c>
      <c r="C268" s="1219"/>
      <c r="D268" s="1219"/>
      <c r="E268" s="1217"/>
      <c r="F268" s="1217"/>
      <c r="G268" s="1217"/>
      <c r="H268" s="1217"/>
      <c r="I268" s="1217"/>
      <c r="J268" s="1217"/>
      <c r="K268" s="1217"/>
      <c r="L268" s="1220"/>
      <c r="M268" s="1216"/>
      <c r="N268" s="1217"/>
      <c r="O268" s="1221">
        <v>7</v>
      </c>
      <c r="P268" s="1233">
        <f t="shared" si="2921" ref="P268:AE283">$F$211</f>
        <v>0</v>
      </c>
      <c r="Q268" s="1233">
        <f t="shared" si="2915"/>
        <v>0</v>
      </c>
      <c r="R268" s="1233">
        <f t="shared" si="2910"/>
        <v>0</v>
      </c>
      <c r="S268" s="1233">
        <f t="shared" si="2906"/>
        <v>0</v>
      </c>
      <c r="T268" s="1233">
        <f t="shared" si="2903"/>
        <v>0</v>
      </c>
      <c r="U268" s="1233">
        <f t="shared" si="2901"/>
        <v>0</v>
      </c>
      <c r="V268" s="1233">
        <f t="shared" si="2900"/>
        <v>0</v>
      </c>
      <c r="W268" s="1221">
        <v>0</v>
      </c>
      <c r="X268" s="1221">
        <v>0</v>
      </c>
      <c r="Y268" s="1221">
        <v>0</v>
      </c>
      <c r="Z268" s="1221">
        <v>0</v>
      </c>
      <c r="AA268" s="1221">
        <v>0</v>
      </c>
      <c r="AB268" s="1221">
        <v>0</v>
      </c>
      <c r="AC268" s="1221">
        <v>0</v>
      </c>
      <c r="AD268" s="1221">
        <v>0</v>
      </c>
      <c r="AE268" s="1221">
        <v>0</v>
      </c>
      <c r="AF268" s="1221">
        <v>0</v>
      </c>
      <c r="AG268" s="1221">
        <v>0</v>
      </c>
      <c r="AH268" s="1221">
        <v>0</v>
      </c>
      <c r="AI268" s="1221">
        <v>0</v>
      </c>
      <c r="AJ268" s="1221">
        <v>0</v>
      </c>
      <c r="AK268" s="1221">
        <v>0</v>
      </c>
      <c r="AL268" s="1221">
        <v>0</v>
      </c>
      <c r="AM268" s="1221">
        <v>0</v>
      </c>
      <c r="AN268" s="1221">
        <v>0</v>
      </c>
      <c r="AO268" s="1221">
        <v>0</v>
      </c>
      <c r="AP268" s="1221">
        <v>0</v>
      </c>
      <c r="AQ268" s="1221">
        <v>0</v>
      </c>
      <c r="AR268" s="1221">
        <v>0</v>
      </c>
      <c r="AS268" s="1221">
        <v>0</v>
      </c>
      <c r="AT268" s="1221">
        <v>0</v>
      </c>
      <c r="AU268" s="1221">
        <v>0</v>
      </c>
      <c r="AV268" s="1221">
        <v>0</v>
      </c>
      <c r="AW268" s="1221">
        <v>0</v>
      </c>
      <c r="AX268" s="1221">
        <v>0</v>
      </c>
      <c r="AY268" s="1221">
        <v>0</v>
      </c>
      <c r="AZ268" s="1221">
        <v>0</v>
      </c>
      <c r="BA268" s="1221">
        <v>0</v>
      </c>
      <c r="BB268" s="1221">
        <v>0</v>
      </c>
      <c r="BC268" s="1221">
        <v>0</v>
      </c>
      <c r="BD268" s="1221">
        <v>0</v>
      </c>
      <c r="BE268" s="1221">
        <v>0</v>
      </c>
      <c r="BF268" s="1221">
        <v>0</v>
      </c>
      <c r="BG268" s="1221">
        <v>0</v>
      </c>
      <c r="BH268" s="1221">
        <v>0</v>
      </c>
      <c r="BI268" s="1221">
        <v>0</v>
      </c>
      <c r="BJ268" s="1221">
        <v>0</v>
      </c>
      <c r="BK268" s="1221">
        <v>0</v>
      </c>
      <c r="BL268" s="1221">
        <v>0</v>
      </c>
      <c r="BM268" s="1221">
        <v>0</v>
      </c>
      <c r="BN268" s="1221">
        <v>0</v>
      </c>
      <c r="BO268" s="1221">
        <v>0</v>
      </c>
      <c r="BP268" s="1184"/>
      <c r="BQ268" s="1184"/>
      <c r="BR268" s="1184"/>
      <c r="BS268" s="1184"/>
      <c r="BT268" s="1184"/>
      <c r="BU268" s="1184"/>
      <c r="BV268" s="1184"/>
      <c r="BW268" s="1184"/>
      <c r="BX268" s="1184"/>
      <c r="BY268" s="1184"/>
      <c r="BZ268" s="208"/>
      <c r="CA268" s="208"/>
      <c r="CB268" s="208"/>
      <c r="CC268" s="208"/>
      <c r="CD268" s="211"/>
    </row>
    <row r="269" ht="18" customHeight="1">
      <c r="A269" s="1216"/>
      <c r="B269" s="1217"/>
      <c r="C269" s="1217"/>
      <c r="D269" s="1217"/>
      <c r="E269" s="1217"/>
      <c r="F269" s="1217"/>
      <c r="G269" s="1217"/>
      <c r="H269" s="1217"/>
      <c r="I269" s="1217"/>
      <c r="J269" s="1217"/>
      <c r="K269" s="1217"/>
      <c r="L269" s="1220"/>
      <c r="M269" s="1216"/>
      <c r="N269" s="1217"/>
      <c r="O269" s="1221">
        <v>8</v>
      </c>
      <c r="P269" s="1233">
        <f t="shared" si="2928" ref="P269:AE284">$F$212</f>
        <v>0</v>
      </c>
      <c r="Q269" s="1233">
        <f t="shared" si="2921"/>
        <v>0</v>
      </c>
      <c r="R269" s="1233">
        <f t="shared" si="2915"/>
        <v>0</v>
      </c>
      <c r="S269" s="1233">
        <f t="shared" si="2910"/>
        <v>0</v>
      </c>
      <c r="T269" s="1233">
        <f t="shared" si="2906"/>
        <v>0</v>
      </c>
      <c r="U269" s="1233">
        <f t="shared" si="2903"/>
        <v>0</v>
      </c>
      <c r="V269" s="1233">
        <f t="shared" si="2901"/>
        <v>0</v>
      </c>
      <c r="W269" s="1233">
        <f t="shared" si="2900"/>
        <v>0</v>
      </c>
      <c r="X269" s="1221">
        <v>0</v>
      </c>
      <c r="Y269" s="1221">
        <v>0</v>
      </c>
      <c r="Z269" s="1221">
        <v>0</v>
      </c>
      <c r="AA269" s="1221">
        <v>0</v>
      </c>
      <c r="AB269" s="1221">
        <v>0</v>
      </c>
      <c r="AC269" s="1221">
        <v>0</v>
      </c>
      <c r="AD269" s="1221">
        <v>0</v>
      </c>
      <c r="AE269" s="1221">
        <v>0</v>
      </c>
      <c r="AF269" s="1221">
        <v>0</v>
      </c>
      <c r="AG269" s="1221">
        <v>0</v>
      </c>
      <c r="AH269" s="1221">
        <v>0</v>
      </c>
      <c r="AI269" s="1221">
        <v>0</v>
      </c>
      <c r="AJ269" s="1221">
        <v>0</v>
      </c>
      <c r="AK269" s="1221">
        <v>0</v>
      </c>
      <c r="AL269" s="1221">
        <v>0</v>
      </c>
      <c r="AM269" s="1221">
        <v>0</v>
      </c>
      <c r="AN269" s="1221">
        <v>0</v>
      </c>
      <c r="AO269" s="1221">
        <v>0</v>
      </c>
      <c r="AP269" s="1221">
        <v>0</v>
      </c>
      <c r="AQ269" s="1221">
        <v>0</v>
      </c>
      <c r="AR269" s="1221">
        <v>0</v>
      </c>
      <c r="AS269" s="1221">
        <v>0</v>
      </c>
      <c r="AT269" s="1221">
        <v>0</v>
      </c>
      <c r="AU269" s="1221">
        <v>0</v>
      </c>
      <c r="AV269" s="1221">
        <v>0</v>
      </c>
      <c r="AW269" s="1221">
        <v>0</v>
      </c>
      <c r="AX269" s="1221">
        <v>0</v>
      </c>
      <c r="AY269" s="1221">
        <v>0</v>
      </c>
      <c r="AZ269" s="1221">
        <v>0</v>
      </c>
      <c r="BA269" s="1221">
        <v>0</v>
      </c>
      <c r="BB269" s="1221">
        <v>0</v>
      </c>
      <c r="BC269" s="1221">
        <v>0</v>
      </c>
      <c r="BD269" s="1221">
        <v>0</v>
      </c>
      <c r="BE269" s="1221">
        <v>0</v>
      </c>
      <c r="BF269" s="1221">
        <v>0</v>
      </c>
      <c r="BG269" s="1221">
        <v>0</v>
      </c>
      <c r="BH269" s="1221">
        <v>0</v>
      </c>
      <c r="BI269" s="1221">
        <v>0</v>
      </c>
      <c r="BJ269" s="1221">
        <v>0</v>
      </c>
      <c r="BK269" s="1221">
        <v>0</v>
      </c>
      <c r="BL269" s="1221">
        <v>0</v>
      </c>
      <c r="BM269" s="1221">
        <v>0</v>
      </c>
      <c r="BN269" s="1221">
        <v>0</v>
      </c>
      <c r="BO269" s="1221">
        <v>0</v>
      </c>
      <c r="BP269" s="1184"/>
      <c r="BQ269" s="1184"/>
      <c r="BR269" s="1184"/>
      <c r="BS269" s="1184"/>
      <c r="BT269" s="1184"/>
      <c r="BU269" s="1184"/>
      <c r="BV269" s="1184"/>
      <c r="BW269" s="1184"/>
      <c r="BX269" s="1184"/>
      <c r="BY269" s="1184"/>
      <c r="BZ269" s="208"/>
      <c r="CA269" s="208"/>
      <c r="CB269" s="208"/>
      <c r="CC269" s="208"/>
      <c r="CD269" s="211"/>
    </row>
    <row r="270" ht="18" customHeight="1">
      <c r="A270" s="1216"/>
      <c r="B270" s="1217"/>
      <c r="C270" s="1217"/>
      <c r="D270" s="1217"/>
      <c r="E270" s="1217"/>
      <c r="F270" s="1217"/>
      <c r="G270" s="1217"/>
      <c r="H270" s="1217"/>
      <c r="I270" s="1217"/>
      <c r="J270" s="1217"/>
      <c r="K270" s="1217"/>
      <c r="L270" s="1220"/>
      <c r="M270" s="1216"/>
      <c r="N270" s="1217"/>
      <c r="O270" s="1221">
        <v>9</v>
      </c>
      <c r="P270" s="1233">
        <f t="shared" si="2936" ref="P270:AE285">$F$213</f>
        <v>0</v>
      </c>
      <c r="Q270" s="1233">
        <f t="shared" si="2928"/>
        <v>0</v>
      </c>
      <c r="R270" s="1233">
        <f t="shared" si="2921"/>
        <v>0</v>
      </c>
      <c r="S270" s="1233">
        <f t="shared" si="2915"/>
        <v>0</v>
      </c>
      <c r="T270" s="1233">
        <f t="shared" si="2910"/>
        <v>0</v>
      </c>
      <c r="U270" s="1233">
        <f t="shared" si="2906"/>
        <v>0</v>
      </c>
      <c r="V270" s="1233">
        <f t="shared" si="2903"/>
        <v>0</v>
      </c>
      <c r="W270" s="1233">
        <f t="shared" si="2901"/>
        <v>0</v>
      </c>
      <c r="X270" s="1233">
        <f t="shared" si="2900"/>
        <v>0</v>
      </c>
      <c r="Y270" s="1221">
        <v>0</v>
      </c>
      <c r="Z270" s="1221">
        <v>0</v>
      </c>
      <c r="AA270" s="1221">
        <v>0</v>
      </c>
      <c r="AB270" s="1221">
        <v>0</v>
      </c>
      <c r="AC270" s="1221">
        <v>0</v>
      </c>
      <c r="AD270" s="1221">
        <v>0</v>
      </c>
      <c r="AE270" s="1221">
        <v>0</v>
      </c>
      <c r="AF270" s="1221">
        <v>0</v>
      </c>
      <c r="AG270" s="1221">
        <v>0</v>
      </c>
      <c r="AH270" s="1221">
        <v>0</v>
      </c>
      <c r="AI270" s="1221">
        <v>0</v>
      </c>
      <c r="AJ270" s="1221">
        <v>0</v>
      </c>
      <c r="AK270" s="1221">
        <v>0</v>
      </c>
      <c r="AL270" s="1221">
        <v>0</v>
      </c>
      <c r="AM270" s="1221">
        <v>0</v>
      </c>
      <c r="AN270" s="1221">
        <v>0</v>
      </c>
      <c r="AO270" s="1221">
        <v>0</v>
      </c>
      <c r="AP270" s="1221">
        <v>0</v>
      </c>
      <c r="AQ270" s="1221">
        <v>0</v>
      </c>
      <c r="AR270" s="1221">
        <v>0</v>
      </c>
      <c r="AS270" s="1221">
        <v>0</v>
      </c>
      <c r="AT270" s="1221">
        <v>0</v>
      </c>
      <c r="AU270" s="1221">
        <v>0</v>
      </c>
      <c r="AV270" s="1221">
        <v>0</v>
      </c>
      <c r="AW270" s="1221">
        <v>0</v>
      </c>
      <c r="AX270" s="1221">
        <v>0</v>
      </c>
      <c r="AY270" s="1221">
        <v>0</v>
      </c>
      <c r="AZ270" s="1221">
        <v>0</v>
      </c>
      <c r="BA270" s="1221">
        <v>0</v>
      </c>
      <c r="BB270" s="1221">
        <v>0</v>
      </c>
      <c r="BC270" s="1221">
        <v>0</v>
      </c>
      <c r="BD270" s="1221">
        <v>0</v>
      </c>
      <c r="BE270" s="1221">
        <v>0</v>
      </c>
      <c r="BF270" s="1221">
        <v>0</v>
      </c>
      <c r="BG270" s="1221">
        <v>0</v>
      </c>
      <c r="BH270" s="1221">
        <v>0</v>
      </c>
      <c r="BI270" s="1221">
        <v>0</v>
      </c>
      <c r="BJ270" s="1221">
        <v>0</v>
      </c>
      <c r="BK270" s="1221">
        <v>0</v>
      </c>
      <c r="BL270" s="1221">
        <v>0</v>
      </c>
      <c r="BM270" s="1221">
        <v>0</v>
      </c>
      <c r="BN270" s="1221">
        <v>0</v>
      </c>
      <c r="BO270" s="1221">
        <v>0</v>
      </c>
      <c r="BP270" s="1184"/>
      <c r="BQ270" s="1184"/>
      <c r="BR270" s="1184"/>
      <c r="BS270" s="1184"/>
      <c r="BT270" s="1184"/>
      <c r="BU270" s="1184"/>
      <c r="BV270" s="1184"/>
      <c r="BW270" s="1184"/>
      <c r="BX270" s="1184"/>
      <c r="BY270" s="1184"/>
      <c r="BZ270" s="208"/>
      <c r="CA270" s="208"/>
      <c r="CB270" s="208"/>
      <c r="CC270" s="208"/>
      <c r="CD270" s="211"/>
    </row>
    <row r="271" ht="18" customHeight="1">
      <c r="A271" s="1216"/>
      <c r="B271" t="s" s="1221">
        <v>1132</v>
      </c>
      <c r="C271" s="1217"/>
      <c r="D271" s="1217"/>
      <c r="E271" s="1217"/>
      <c r="F271" s="1222"/>
      <c r="G271" s="1217"/>
      <c r="H271" s="1223"/>
      <c r="I271" s="1223"/>
      <c r="J271" t="s" s="1230">
        <v>695</v>
      </c>
      <c r="K271" s="1224">
        <f>C220</f>
        <v>0</v>
      </c>
      <c r="L271" s="1220"/>
      <c r="M271" s="1216"/>
      <c r="N271" s="1217"/>
      <c r="O271" s="1221">
        <v>10</v>
      </c>
      <c r="P271" s="1233">
        <f t="shared" si="2946" ref="P271:AE286">$F$214</f>
        <v>0</v>
      </c>
      <c r="Q271" s="1233">
        <f t="shared" si="2936"/>
        <v>0</v>
      </c>
      <c r="R271" s="1233">
        <f t="shared" si="2928"/>
        <v>0</v>
      </c>
      <c r="S271" s="1233">
        <f t="shared" si="2921"/>
        <v>0</v>
      </c>
      <c r="T271" s="1233">
        <f t="shared" si="2915"/>
        <v>0</v>
      </c>
      <c r="U271" s="1233">
        <f t="shared" si="2910"/>
        <v>0</v>
      </c>
      <c r="V271" s="1233">
        <f t="shared" si="2906"/>
        <v>0</v>
      </c>
      <c r="W271" s="1233">
        <f t="shared" si="2903"/>
        <v>0</v>
      </c>
      <c r="X271" s="1233">
        <f t="shared" si="2901"/>
        <v>0</v>
      </c>
      <c r="Y271" s="1233">
        <f t="shared" si="2900"/>
        <v>0</v>
      </c>
      <c r="Z271" s="1221">
        <v>0</v>
      </c>
      <c r="AA271" s="1221">
        <v>0</v>
      </c>
      <c r="AB271" s="1221">
        <v>0</v>
      </c>
      <c r="AC271" s="1221">
        <v>0</v>
      </c>
      <c r="AD271" s="1221">
        <v>0</v>
      </c>
      <c r="AE271" s="1221">
        <v>0</v>
      </c>
      <c r="AF271" s="1221">
        <v>0</v>
      </c>
      <c r="AG271" s="1221">
        <v>0</v>
      </c>
      <c r="AH271" s="1221">
        <v>0</v>
      </c>
      <c r="AI271" s="1221">
        <v>0</v>
      </c>
      <c r="AJ271" s="1221">
        <v>0</v>
      </c>
      <c r="AK271" s="1221">
        <v>0</v>
      </c>
      <c r="AL271" s="1221">
        <v>0</v>
      </c>
      <c r="AM271" s="1221">
        <v>0</v>
      </c>
      <c r="AN271" s="1221">
        <v>0</v>
      </c>
      <c r="AO271" s="1221">
        <v>0</v>
      </c>
      <c r="AP271" s="1221">
        <v>0</v>
      </c>
      <c r="AQ271" s="1221">
        <v>0</v>
      </c>
      <c r="AR271" s="1221">
        <v>0</v>
      </c>
      <c r="AS271" s="1221">
        <v>0</v>
      </c>
      <c r="AT271" s="1221">
        <v>0</v>
      </c>
      <c r="AU271" s="1221">
        <v>0</v>
      </c>
      <c r="AV271" s="1221">
        <v>0</v>
      </c>
      <c r="AW271" s="1221">
        <v>0</v>
      </c>
      <c r="AX271" s="1221">
        <v>0</v>
      </c>
      <c r="AY271" s="1221">
        <v>0</v>
      </c>
      <c r="AZ271" s="1221">
        <v>0</v>
      </c>
      <c r="BA271" s="1221">
        <v>0</v>
      </c>
      <c r="BB271" s="1221">
        <v>0</v>
      </c>
      <c r="BC271" s="1221">
        <v>0</v>
      </c>
      <c r="BD271" s="1221">
        <v>0</v>
      </c>
      <c r="BE271" s="1221">
        <v>0</v>
      </c>
      <c r="BF271" s="1221">
        <v>0</v>
      </c>
      <c r="BG271" s="1221">
        <v>0</v>
      </c>
      <c r="BH271" s="1221">
        <v>0</v>
      </c>
      <c r="BI271" s="1221">
        <v>0</v>
      </c>
      <c r="BJ271" s="1221">
        <v>0</v>
      </c>
      <c r="BK271" s="1221">
        <v>0</v>
      </c>
      <c r="BL271" s="1221">
        <v>0</v>
      </c>
      <c r="BM271" s="1221">
        <v>0</v>
      </c>
      <c r="BN271" s="1221">
        <v>0</v>
      </c>
      <c r="BO271" s="1221">
        <v>0</v>
      </c>
      <c r="BP271" s="1184"/>
      <c r="BQ271" s="1184"/>
      <c r="BR271" s="1184"/>
      <c r="BS271" s="1184"/>
      <c r="BT271" s="1184"/>
      <c r="BU271" s="1184"/>
      <c r="BV271" s="1184"/>
      <c r="BW271" s="1184"/>
      <c r="BX271" s="1184"/>
      <c r="BY271" s="1184"/>
      <c r="BZ271" s="208"/>
      <c r="CA271" s="208"/>
      <c r="CB271" s="208"/>
      <c r="CC271" s="208"/>
      <c r="CD271" s="211"/>
    </row>
    <row r="272" ht="18" customHeight="1">
      <c r="A272" s="1216"/>
      <c r="B272" t="s" s="1221">
        <v>1114</v>
      </c>
      <c r="C272" s="1217"/>
      <c r="D272" s="1217"/>
      <c r="E272" s="1220"/>
      <c r="F272" s="1225">
        <f>'Project Information'!C33/4.333333</f>
        <v>12.00000092307699</v>
      </c>
      <c r="G272" s="1216"/>
      <c r="H272" s="1217"/>
      <c r="I272" s="1217"/>
      <c r="J272" s="1217"/>
      <c r="K272" s="1217"/>
      <c r="L272" s="1220"/>
      <c r="M272" s="1216"/>
      <c r="N272" s="1217"/>
      <c r="O272" s="1221">
        <v>11</v>
      </c>
      <c r="P272" s="1233">
        <f t="shared" si="2957" ref="P272:AE287">$F$215</f>
        <v>0</v>
      </c>
      <c r="Q272" s="1233">
        <f t="shared" si="2946"/>
        <v>0</v>
      </c>
      <c r="R272" s="1233">
        <f t="shared" si="2936"/>
        <v>0</v>
      </c>
      <c r="S272" s="1233">
        <f t="shared" si="2928"/>
        <v>0</v>
      </c>
      <c r="T272" s="1233">
        <f t="shared" si="2921"/>
        <v>0</v>
      </c>
      <c r="U272" s="1233">
        <f t="shared" si="2915"/>
        <v>0</v>
      </c>
      <c r="V272" s="1233">
        <f t="shared" si="2910"/>
        <v>0</v>
      </c>
      <c r="W272" s="1233">
        <f t="shared" si="2906"/>
        <v>0</v>
      </c>
      <c r="X272" s="1233">
        <f t="shared" si="2903"/>
        <v>0</v>
      </c>
      <c r="Y272" s="1233">
        <f t="shared" si="2901"/>
        <v>0</v>
      </c>
      <c r="Z272" s="1233">
        <f t="shared" si="2900"/>
        <v>0</v>
      </c>
      <c r="AA272" s="1221">
        <v>0</v>
      </c>
      <c r="AB272" s="1221">
        <v>0</v>
      </c>
      <c r="AC272" s="1221">
        <v>0</v>
      </c>
      <c r="AD272" s="1221">
        <v>0</v>
      </c>
      <c r="AE272" s="1221">
        <v>0</v>
      </c>
      <c r="AF272" s="1221">
        <v>0</v>
      </c>
      <c r="AG272" s="1221">
        <v>0</v>
      </c>
      <c r="AH272" s="1221">
        <v>0</v>
      </c>
      <c r="AI272" s="1221">
        <v>0</v>
      </c>
      <c r="AJ272" s="1221">
        <v>0</v>
      </c>
      <c r="AK272" s="1221">
        <v>0</v>
      </c>
      <c r="AL272" s="1221">
        <v>0</v>
      </c>
      <c r="AM272" s="1221">
        <v>0</v>
      </c>
      <c r="AN272" s="1221">
        <v>0</v>
      </c>
      <c r="AO272" s="1221">
        <v>0</v>
      </c>
      <c r="AP272" s="1221">
        <v>0</v>
      </c>
      <c r="AQ272" s="1221">
        <v>0</v>
      </c>
      <c r="AR272" s="1221">
        <v>0</v>
      </c>
      <c r="AS272" s="1221">
        <v>0</v>
      </c>
      <c r="AT272" s="1221">
        <v>0</v>
      </c>
      <c r="AU272" s="1221">
        <v>0</v>
      </c>
      <c r="AV272" s="1221">
        <v>0</v>
      </c>
      <c r="AW272" s="1221">
        <v>0</v>
      </c>
      <c r="AX272" s="1221">
        <v>0</v>
      </c>
      <c r="AY272" s="1221">
        <v>0</v>
      </c>
      <c r="AZ272" s="1221">
        <v>0</v>
      </c>
      <c r="BA272" s="1221">
        <v>0</v>
      </c>
      <c r="BB272" s="1221">
        <v>0</v>
      </c>
      <c r="BC272" s="1221">
        <v>0</v>
      </c>
      <c r="BD272" s="1221">
        <v>0</v>
      </c>
      <c r="BE272" s="1221">
        <v>0</v>
      </c>
      <c r="BF272" s="1221">
        <v>0</v>
      </c>
      <c r="BG272" s="1221">
        <v>0</v>
      </c>
      <c r="BH272" s="1221">
        <v>0</v>
      </c>
      <c r="BI272" s="1221">
        <v>0</v>
      </c>
      <c r="BJ272" s="1221">
        <v>0</v>
      </c>
      <c r="BK272" s="1221">
        <v>0</v>
      </c>
      <c r="BL272" s="1221">
        <v>0</v>
      </c>
      <c r="BM272" s="1221">
        <v>0</v>
      </c>
      <c r="BN272" s="1221">
        <v>0</v>
      </c>
      <c r="BO272" s="1221">
        <v>0</v>
      </c>
      <c r="BP272" s="1184"/>
      <c r="BQ272" s="1184"/>
      <c r="BR272" s="1184"/>
      <c r="BS272" s="1184"/>
      <c r="BT272" s="1184"/>
      <c r="BU272" s="1184"/>
      <c r="BV272" s="1184"/>
      <c r="BW272" s="1184"/>
      <c r="BX272" s="1184"/>
      <c r="BY272" s="1184"/>
      <c r="BZ272" s="208"/>
      <c r="CA272" s="208"/>
      <c r="CB272" s="208"/>
      <c r="CC272" s="208"/>
      <c r="CD272" s="211"/>
    </row>
    <row r="273" ht="18" customHeight="1">
      <c r="A273" s="1216"/>
      <c r="B273" t="s" s="1221">
        <v>1115</v>
      </c>
      <c r="C273" s="1217"/>
      <c r="D273" s="1217"/>
      <c r="E273" s="1220"/>
      <c r="F273" s="1226">
        <f>MONTH((DATE(1899,12,31)+(0*7+IF('Project Information'!C27&gt;60,'Project Information'!C27-1,'Project Information'!C27))))</f>
      </c>
      <c r="G273" s="1216"/>
      <c r="H273" s="1217"/>
      <c r="I273" s="1217"/>
      <c r="J273" s="1217"/>
      <c r="K273" s="1217"/>
      <c r="L273" s="1220"/>
      <c r="M273" s="1216"/>
      <c r="N273" s="1217"/>
      <c r="O273" s="1221">
        <v>12</v>
      </c>
      <c r="P273" s="1233">
        <f t="shared" si="2969" ref="P273:AE288">$F$216</f>
        <v>0</v>
      </c>
      <c r="Q273" s="1233">
        <f t="shared" si="2957"/>
        <v>0</v>
      </c>
      <c r="R273" s="1233">
        <f t="shared" si="2946"/>
        <v>0</v>
      </c>
      <c r="S273" s="1233">
        <f t="shared" si="2936"/>
        <v>0</v>
      </c>
      <c r="T273" s="1233">
        <f t="shared" si="2928"/>
        <v>0</v>
      </c>
      <c r="U273" s="1233">
        <f t="shared" si="2921"/>
        <v>0</v>
      </c>
      <c r="V273" s="1233">
        <f t="shared" si="2915"/>
        <v>0</v>
      </c>
      <c r="W273" s="1233">
        <f t="shared" si="2910"/>
        <v>0</v>
      </c>
      <c r="X273" s="1233">
        <f t="shared" si="2906"/>
        <v>0</v>
      </c>
      <c r="Y273" s="1233">
        <f t="shared" si="2903"/>
        <v>0</v>
      </c>
      <c r="Z273" s="1233">
        <f t="shared" si="2901"/>
        <v>0</v>
      </c>
      <c r="AA273" s="1233">
        <f t="shared" si="2900"/>
        <v>0</v>
      </c>
      <c r="AB273" s="1221">
        <v>0</v>
      </c>
      <c r="AC273" s="1221">
        <v>0</v>
      </c>
      <c r="AD273" s="1221">
        <v>0</v>
      </c>
      <c r="AE273" s="1221">
        <v>0</v>
      </c>
      <c r="AF273" s="1221">
        <v>0</v>
      </c>
      <c r="AG273" s="1221">
        <v>0</v>
      </c>
      <c r="AH273" s="1221">
        <v>0</v>
      </c>
      <c r="AI273" s="1221">
        <v>0</v>
      </c>
      <c r="AJ273" s="1221">
        <v>0</v>
      </c>
      <c r="AK273" s="1221">
        <v>0</v>
      </c>
      <c r="AL273" s="1221">
        <v>0</v>
      </c>
      <c r="AM273" s="1221">
        <v>0</v>
      </c>
      <c r="AN273" s="1221">
        <v>0</v>
      </c>
      <c r="AO273" s="1221">
        <v>0</v>
      </c>
      <c r="AP273" s="1221">
        <v>0</v>
      </c>
      <c r="AQ273" s="1221">
        <v>0</v>
      </c>
      <c r="AR273" s="1221">
        <v>0</v>
      </c>
      <c r="AS273" s="1221">
        <v>0</v>
      </c>
      <c r="AT273" s="1221">
        <v>0</v>
      </c>
      <c r="AU273" s="1221">
        <v>0</v>
      </c>
      <c r="AV273" s="1221">
        <v>0</v>
      </c>
      <c r="AW273" s="1221">
        <v>0</v>
      </c>
      <c r="AX273" s="1221">
        <v>0</v>
      </c>
      <c r="AY273" s="1221">
        <v>0</v>
      </c>
      <c r="AZ273" s="1221">
        <v>0</v>
      </c>
      <c r="BA273" s="1221">
        <v>0</v>
      </c>
      <c r="BB273" s="1221">
        <v>0</v>
      </c>
      <c r="BC273" s="1221">
        <v>0</v>
      </c>
      <c r="BD273" s="1221">
        <v>0</v>
      </c>
      <c r="BE273" s="1221">
        <v>0</v>
      </c>
      <c r="BF273" s="1221">
        <v>0</v>
      </c>
      <c r="BG273" s="1221">
        <v>0</v>
      </c>
      <c r="BH273" s="1221">
        <v>0</v>
      </c>
      <c r="BI273" s="1221">
        <v>0</v>
      </c>
      <c r="BJ273" s="1221">
        <v>0</v>
      </c>
      <c r="BK273" s="1221">
        <v>0</v>
      </c>
      <c r="BL273" s="1221">
        <v>0</v>
      </c>
      <c r="BM273" s="1221">
        <v>0</v>
      </c>
      <c r="BN273" s="1221">
        <v>0</v>
      </c>
      <c r="BO273" s="1221">
        <v>0</v>
      </c>
      <c r="BP273" s="1184"/>
      <c r="BQ273" s="1184"/>
      <c r="BR273" s="1184"/>
      <c r="BS273" s="1184"/>
      <c r="BT273" s="1184"/>
      <c r="BU273" s="1184"/>
      <c r="BV273" s="1184"/>
      <c r="BW273" s="1184"/>
      <c r="BX273" s="1184"/>
      <c r="BY273" s="1184"/>
      <c r="BZ273" s="208"/>
      <c r="CA273" s="208"/>
      <c r="CB273" s="208"/>
      <c r="CC273" s="208"/>
      <c r="CD273" s="211"/>
    </row>
    <row r="274" ht="18" customHeight="1">
      <c r="A274" s="1216"/>
      <c r="B274" s="1217"/>
      <c r="C274" s="1217"/>
      <c r="D274" s="1217"/>
      <c r="E274" s="1217"/>
      <c r="F274" s="1214"/>
      <c r="G274" s="1217"/>
      <c r="H274" s="1217"/>
      <c r="I274" s="1217"/>
      <c r="J274" s="1217"/>
      <c r="K274" s="1217"/>
      <c r="L274" s="1220"/>
      <c r="M274" s="1216"/>
      <c r="N274" s="1217"/>
      <c r="O274" s="1221">
        <v>13</v>
      </c>
      <c r="P274" s="1233">
        <f t="shared" si="2981" ref="P274:AE289">$F$217</f>
        <v>0</v>
      </c>
      <c r="Q274" s="1233">
        <f t="shared" si="2969"/>
        <v>0</v>
      </c>
      <c r="R274" s="1233">
        <f t="shared" si="2957"/>
        <v>0</v>
      </c>
      <c r="S274" s="1233">
        <f t="shared" si="2946"/>
        <v>0</v>
      </c>
      <c r="T274" s="1233">
        <f t="shared" si="2936"/>
        <v>0</v>
      </c>
      <c r="U274" s="1233">
        <f t="shared" si="2928"/>
        <v>0</v>
      </c>
      <c r="V274" s="1233">
        <f t="shared" si="2921"/>
        <v>0</v>
      </c>
      <c r="W274" s="1233">
        <f t="shared" si="2915"/>
        <v>0</v>
      </c>
      <c r="X274" s="1233">
        <f t="shared" si="2910"/>
        <v>0</v>
      </c>
      <c r="Y274" s="1233">
        <f t="shared" si="2906"/>
        <v>0</v>
      </c>
      <c r="Z274" s="1233">
        <f t="shared" si="2903"/>
        <v>0</v>
      </c>
      <c r="AA274" s="1233">
        <f t="shared" si="2901"/>
        <v>0</v>
      </c>
      <c r="AB274" s="1233">
        <f t="shared" si="2900"/>
        <v>0</v>
      </c>
      <c r="AC274" s="1221">
        <v>0</v>
      </c>
      <c r="AD274" s="1221">
        <v>0</v>
      </c>
      <c r="AE274" s="1221">
        <v>0</v>
      </c>
      <c r="AF274" s="1221">
        <v>0</v>
      </c>
      <c r="AG274" s="1221">
        <v>0</v>
      </c>
      <c r="AH274" s="1221">
        <v>0</v>
      </c>
      <c r="AI274" s="1221">
        <v>0</v>
      </c>
      <c r="AJ274" s="1221">
        <v>0</v>
      </c>
      <c r="AK274" s="1221">
        <v>0</v>
      </c>
      <c r="AL274" s="1221">
        <v>0</v>
      </c>
      <c r="AM274" s="1221">
        <v>0</v>
      </c>
      <c r="AN274" s="1221">
        <v>0</v>
      </c>
      <c r="AO274" s="1221">
        <v>0</v>
      </c>
      <c r="AP274" s="1221">
        <v>0</v>
      </c>
      <c r="AQ274" s="1221">
        <v>0</v>
      </c>
      <c r="AR274" s="1221">
        <v>0</v>
      </c>
      <c r="AS274" s="1221">
        <v>0</v>
      </c>
      <c r="AT274" s="1221">
        <v>0</v>
      </c>
      <c r="AU274" s="1221">
        <v>0</v>
      </c>
      <c r="AV274" s="1221">
        <v>0</v>
      </c>
      <c r="AW274" s="1221">
        <v>0</v>
      </c>
      <c r="AX274" s="1221">
        <v>0</v>
      </c>
      <c r="AY274" s="1221">
        <v>0</v>
      </c>
      <c r="AZ274" s="1221">
        <v>0</v>
      </c>
      <c r="BA274" s="1221">
        <v>0</v>
      </c>
      <c r="BB274" s="1221">
        <v>0</v>
      </c>
      <c r="BC274" s="1221">
        <v>0</v>
      </c>
      <c r="BD274" s="1221">
        <v>0</v>
      </c>
      <c r="BE274" s="1221">
        <v>0</v>
      </c>
      <c r="BF274" s="1221">
        <v>0</v>
      </c>
      <c r="BG274" s="1221">
        <v>0</v>
      </c>
      <c r="BH274" s="1221">
        <v>0</v>
      </c>
      <c r="BI274" s="1221">
        <v>0</v>
      </c>
      <c r="BJ274" s="1221">
        <v>0</v>
      </c>
      <c r="BK274" s="1221">
        <v>0</v>
      </c>
      <c r="BL274" s="1221">
        <v>0</v>
      </c>
      <c r="BM274" s="1221">
        <v>0</v>
      </c>
      <c r="BN274" s="1221">
        <v>0</v>
      </c>
      <c r="BO274" s="1221">
        <v>0</v>
      </c>
      <c r="BP274" s="1184"/>
      <c r="BQ274" s="1184"/>
      <c r="BR274" s="1184"/>
      <c r="BS274" s="1184"/>
      <c r="BT274" s="1184"/>
      <c r="BU274" s="1184"/>
      <c r="BV274" s="1184"/>
      <c r="BW274" s="1184"/>
      <c r="BX274" s="1184"/>
      <c r="BY274" s="1184"/>
      <c r="BZ274" s="208"/>
      <c r="CA274" s="208"/>
      <c r="CB274" s="208"/>
      <c r="CC274" s="208"/>
      <c r="CD274" s="211"/>
    </row>
    <row r="275" ht="18" customHeight="1">
      <c r="A275" t="s" s="1227">
        <v>1116</v>
      </c>
      <c r="B275" s="1217"/>
      <c r="C275" s="1217"/>
      <c r="D275" s="1217"/>
      <c r="E275" s="1217"/>
      <c r="F275" t="s" s="1228">
        <v>1117</v>
      </c>
      <c r="G275" s="1217"/>
      <c r="H275" s="1217"/>
      <c r="I275" s="1217"/>
      <c r="J275" s="1217"/>
      <c r="K275" t="s" s="1228">
        <v>695</v>
      </c>
      <c r="L275" s="1220"/>
      <c r="M275" s="1216"/>
      <c r="N275" s="1217"/>
      <c r="O275" s="1221">
        <v>15</v>
      </c>
      <c r="P275" s="1233">
        <f t="shared" si="2994" ref="P275:AE290">$F$218</f>
        <v>0</v>
      </c>
      <c r="Q275" s="1233">
        <f t="shared" si="2981"/>
        <v>0</v>
      </c>
      <c r="R275" s="1233">
        <f t="shared" si="2969"/>
        <v>0</v>
      </c>
      <c r="S275" s="1233">
        <f t="shared" si="2957"/>
        <v>0</v>
      </c>
      <c r="T275" s="1233">
        <f t="shared" si="2946"/>
        <v>0</v>
      </c>
      <c r="U275" s="1233">
        <f t="shared" si="2936"/>
        <v>0</v>
      </c>
      <c r="V275" s="1233">
        <f t="shared" si="2928"/>
        <v>0</v>
      </c>
      <c r="W275" s="1233">
        <f t="shared" si="2921"/>
        <v>0</v>
      </c>
      <c r="X275" s="1233">
        <f t="shared" si="2915"/>
        <v>0</v>
      </c>
      <c r="Y275" s="1233">
        <f t="shared" si="2910"/>
        <v>0</v>
      </c>
      <c r="Z275" s="1233">
        <f t="shared" si="2906"/>
        <v>0</v>
      </c>
      <c r="AA275" s="1233">
        <f t="shared" si="2903"/>
        <v>0</v>
      </c>
      <c r="AB275" s="1233">
        <f t="shared" si="2901"/>
        <v>0</v>
      </c>
      <c r="AC275" s="1233">
        <f t="shared" si="2900"/>
        <v>0</v>
      </c>
      <c r="AD275" s="1221">
        <v>0</v>
      </c>
      <c r="AE275" s="1221">
        <v>0</v>
      </c>
      <c r="AF275" s="1221">
        <v>0</v>
      </c>
      <c r="AG275" s="1221">
        <v>0</v>
      </c>
      <c r="AH275" s="1221">
        <v>0</v>
      </c>
      <c r="AI275" s="1221">
        <v>0</v>
      </c>
      <c r="AJ275" s="1221">
        <v>0</v>
      </c>
      <c r="AK275" s="1221">
        <v>0</v>
      </c>
      <c r="AL275" s="1221">
        <v>0</v>
      </c>
      <c r="AM275" s="1221">
        <v>0</v>
      </c>
      <c r="AN275" s="1221">
        <v>0</v>
      </c>
      <c r="AO275" s="1221">
        <v>0</v>
      </c>
      <c r="AP275" s="1221">
        <v>0</v>
      </c>
      <c r="AQ275" s="1221">
        <v>0</v>
      </c>
      <c r="AR275" s="1221">
        <v>0</v>
      </c>
      <c r="AS275" s="1221">
        <v>0</v>
      </c>
      <c r="AT275" s="1221">
        <v>0</v>
      </c>
      <c r="AU275" s="1221">
        <v>0</v>
      </c>
      <c r="AV275" s="1221">
        <v>0</v>
      </c>
      <c r="AW275" s="1221">
        <v>0</v>
      </c>
      <c r="AX275" s="1221">
        <v>0</v>
      </c>
      <c r="AY275" s="1221">
        <v>0</v>
      </c>
      <c r="AZ275" s="1221">
        <v>0</v>
      </c>
      <c r="BA275" s="1221">
        <v>0</v>
      </c>
      <c r="BB275" s="1221">
        <v>0</v>
      </c>
      <c r="BC275" s="1221">
        <v>0</v>
      </c>
      <c r="BD275" s="1221">
        <v>0</v>
      </c>
      <c r="BE275" s="1221">
        <v>0</v>
      </c>
      <c r="BF275" s="1221">
        <v>0</v>
      </c>
      <c r="BG275" s="1221">
        <v>0</v>
      </c>
      <c r="BH275" s="1221">
        <v>0</v>
      </c>
      <c r="BI275" s="1221">
        <v>0</v>
      </c>
      <c r="BJ275" s="1221">
        <v>0</v>
      </c>
      <c r="BK275" s="1221">
        <v>0</v>
      </c>
      <c r="BL275" s="1221">
        <v>0</v>
      </c>
      <c r="BM275" s="1221">
        <v>0</v>
      </c>
      <c r="BN275" s="1221">
        <v>0</v>
      </c>
      <c r="BO275" s="1221">
        <v>0</v>
      </c>
      <c r="BP275" s="1184"/>
      <c r="BQ275" s="1184"/>
      <c r="BR275" s="1184"/>
      <c r="BS275" s="1184"/>
      <c r="BT275" s="1184"/>
      <c r="BU275" s="1184"/>
      <c r="BV275" s="1184"/>
      <c r="BW275" s="1184"/>
      <c r="BX275" s="1184"/>
      <c r="BY275" s="1184"/>
      <c r="BZ275" s="208"/>
      <c r="CA275" s="208"/>
      <c r="CB275" s="208"/>
      <c r="CC275" s="208"/>
      <c r="CD275" s="211"/>
    </row>
    <row r="276" ht="18" customHeight="1">
      <c r="A276" s="1216"/>
      <c r="B276" t="s" s="1230">
        <v>923</v>
      </c>
      <c r="C276" s="1223"/>
      <c r="D276" s="1223"/>
      <c r="E276" s="1217"/>
      <c r="F276" t="s" s="1230">
        <v>622</v>
      </c>
      <c r="G276" s="1217"/>
      <c r="H276" s="1217"/>
      <c r="I276" s="1217"/>
      <c r="J276" s="1217"/>
      <c r="K276" t="s" s="1230">
        <v>622</v>
      </c>
      <c r="L276" s="1220"/>
      <c r="M276" s="1216"/>
      <c r="N276" s="1217"/>
      <c r="O276" s="1221">
        <v>16</v>
      </c>
      <c r="P276" s="1233">
        <f t="shared" si="3008" ref="P276:AE291">$F$219</f>
        <v>0</v>
      </c>
      <c r="Q276" s="1233">
        <f t="shared" si="2994"/>
        <v>0</v>
      </c>
      <c r="R276" s="1233">
        <f t="shared" si="2981"/>
        <v>0</v>
      </c>
      <c r="S276" s="1233">
        <f t="shared" si="2969"/>
        <v>0</v>
      </c>
      <c r="T276" s="1233">
        <f t="shared" si="2957"/>
        <v>0</v>
      </c>
      <c r="U276" s="1233">
        <f t="shared" si="2946"/>
        <v>0</v>
      </c>
      <c r="V276" s="1233">
        <f t="shared" si="2936"/>
        <v>0</v>
      </c>
      <c r="W276" s="1233">
        <f t="shared" si="2928"/>
        <v>0</v>
      </c>
      <c r="X276" s="1233">
        <f t="shared" si="2921"/>
        <v>0</v>
      </c>
      <c r="Y276" s="1233">
        <f t="shared" si="2915"/>
        <v>0</v>
      </c>
      <c r="Z276" s="1233">
        <f t="shared" si="2910"/>
        <v>0</v>
      </c>
      <c r="AA276" s="1233">
        <f t="shared" si="2906"/>
        <v>0</v>
      </c>
      <c r="AB276" s="1233">
        <f t="shared" si="2903"/>
        <v>0</v>
      </c>
      <c r="AC276" s="1233">
        <f t="shared" si="2901"/>
        <v>0</v>
      </c>
      <c r="AD276" s="1233">
        <f t="shared" si="2900"/>
        <v>0</v>
      </c>
      <c r="AE276" s="1221">
        <v>0</v>
      </c>
      <c r="AF276" s="1221">
        <v>0</v>
      </c>
      <c r="AG276" s="1221">
        <v>0</v>
      </c>
      <c r="AH276" s="1221">
        <v>0</v>
      </c>
      <c r="AI276" s="1221">
        <v>0</v>
      </c>
      <c r="AJ276" s="1221">
        <v>0</v>
      </c>
      <c r="AK276" s="1221">
        <v>0</v>
      </c>
      <c r="AL276" s="1221">
        <v>0</v>
      </c>
      <c r="AM276" s="1221">
        <v>0</v>
      </c>
      <c r="AN276" s="1221">
        <v>0</v>
      </c>
      <c r="AO276" s="1221">
        <v>0</v>
      </c>
      <c r="AP276" s="1221">
        <v>0</v>
      </c>
      <c r="AQ276" s="1221">
        <v>0</v>
      </c>
      <c r="AR276" s="1221">
        <v>0</v>
      </c>
      <c r="AS276" s="1221">
        <v>0</v>
      </c>
      <c r="AT276" s="1221">
        <v>0</v>
      </c>
      <c r="AU276" s="1221">
        <v>0</v>
      </c>
      <c r="AV276" s="1221">
        <v>0</v>
      </c>
      <c r="AW276" s="1221">
        <v>0</v>
      </c>
      <c r="AX276" s="1221">
        <v>0</v>
      </c>
      <c r="AY276" s="1221">
        <v>0</v>
      </c>
      <c r="AZ276" s="1221">
        <v>0</v>
      </c>
      <c r="BA276" s="1221">
        <v>0</v>
      </c>
      <c r="BB276" s="1221">
        <v>0</v>
      </c>
      <c r="BC276" s="1221">
        <v>0</v>
      </c>
      <c r="BD276" s="1221">
        <v>0</v>
      </c>
      <c r="BE276" s="1221">
        <v>0</v>
      </c>
      <c r="BF276" s="1221">
        <v>0</v>
      </c>
      <c r="BG276" s="1221">
        <v>0</v>
      </c>
      <c r="BH276" s="1221">
        <v>0</v>
      </c>
      <c r="BI276" s="1221">
        <v>0</v>
      </c>
      <c r="BJ276" s="1221">
        <v>0</v>
      </c>
      <c r="BK276" s="1221">
        <v>0</v>
      </c>
      <c r="BL276" s="1221">
        <v>0</v>
      </c>
      <c r="BM276" s="1221">
        <v>0</v>
      </c>
      <c r="BN276" s="1221">
        <v>0</v>
      </c>
      <c r="BO276" s="1221">
        <v>0</v>
      </c>
      <c r="BP276" s="1184"/>
      <c r="BQ276" s="1184"/>
      <c r="BR276" s="1184"/>
      <c r="BS276" s="1184"/>
      <c r="BT276" s="1184"/>
      <c r="BU276" s="1184"/>
      <c r="BV276" s="1184"/>
      <c r="BW276" s="1184"/>
      <c r="BX276" s="1184"/>
      <c r="BY276" s="1184"/>
      <c r="BZ276" s="208"/>
      <c r="CA276" s="208"/>
      <c r="CB276" s="208"/>
      <c r="CC276" s="208"/>
      <c r="CD276" s="211"/>
    </row>
    <row r="277" ht="18" customHeight="1">
      <c r="A277" s="1231"/>
      <c r="B277" s="1217"/>
      <c r="C277" s="1217"/>
      <c r="D277" s="1217"/>
      <c r="E277" s="1217"/>
      <c r="F277" s="1217"/>
      <c r="G277" s="1217"/>
      <c r="H277" s="1217"/>
      <c r="I277" s="1217"/>
      <c r="J277" s="1217"/>
      <c r="K277" s="1217"/>
      <c r="L277" s="1220"/>
      <c r="M277" s="1216"/>
      <c r="N277" s="1217"/>
      <c r="O277" s="1221">
        <v>17</v>
      </c>
      <c r="P277" s="1233">
        <f t="shared" si="3023" ref="P277:AE292">$F$220</f>
        <v>0</v>
      </c>
      <c r="Q277" s="1233">
        <f t="shared" si="3008"/>
        <v>0</v>
      </c>
      <c r="R277" s="1233">
        <f t="shared" si="2994"/>
        <v>0</v>
      </c>
      <c r="S277" s="1233">
        <f t="shared" si="2981"/>
        <v>0</v>
      </c>
      <c r="T277" s="1233">
        <f t="shared" si="2969"/>
        <v>0</v>
      </c>
      <c r="U277" s="1233">
        <f t="shared" si="2957"/>
        <v>0</v>
      </c>
      <c r="V277" s="1233">
        <f t="shared" si="2946"/>
        <v>0</v>
      </c>
      <c r="W277" s="1233">
        <f t="shared" si="2936"/>
        <v>0</v>
      </c>
      <c r="X277" s="1233">
        <f t="shared" si="2928"/>
        <v>0</v>
      </c>
      <c r="Y277" s="1233">
        <f t="shared" si="2921"/>
        <v>0</v>
      </c>
      <c r="Z277" s="1233">
        <f t="shared" si="2915"/>
        <v>0</v>
      </c>
      <c r="AA277" s="1233">
        <f t="shared" si="2910"/>
        <v>0</v>
      </c>
      <c r="AB277" s="1233">
        <f t="shared" si="2906"/>
        <v>0</v>
      </c>
      <c r="AC277" s="1233">
        <f t="shared" si="2903"/>
        <v>0</v>
      </c>
      <c r="AD277" s="1233">
        <f t="shared" si="2901"/>
        <v>0</v>
      </c>
      <c r="AE277" s="1233">
        <f t="shared" si="2900"/>
        <v>0</v>
      </c>
      <c r="AF277" s="1221">
        <v>0</v>
      </c>
      <c r="AG277" s="1221">
        <v>0</v>
      </c>
      <c r="AH277" s="1221">
        <v>0</v>
      </c>
      <c r="AI277" s="1221">
        <v>0</v>
      </c>
      <c r="AJ277" s="1221">
        <v>0</v>
      </c>
      <c r="AK277" s="1221">
        <v>0</v>
      </c>
      <c r="AL277" s="1221">
        <v>0</v>
      </c>
      <c r="AM277" s="1221">
        <v>0</v>
      </c>
      <c r="AN277" s="1221">
        <v>0</v>
      </c>
      <c r="AO277" s="1221">
        <v>0</v>
      </c>
      <c r="AP277" s="1221">
        <v>0</v>
      </c>
      <c r="AQ277" s="1221">
        <v>0</v>
      </c>
      <c r="AR277" s="1221">
        <v>0</v>
      </c>
      <c r="AS277" s="1221">
        <v>0</v>
      </c>
      <c r="AT277" s="1221">
        <v>0</v>
      </c>
      <c r="AU277" s="1221">
        <v>0</v>
      </c>
      <c r="AV277" s="1221">
        <v>0</v>
      </c>
      <c r="AW277" s="1221">
        <v>0</v>
      </c>
      <c r="AX277" s="1221">
        <v>0</v>
      </c>
      <c r="AY277" s="1221">
        <v>0</v>
      </c>
      <c r="AZ277" s="1221">
        <v>0</v>
      </c>
      <c r="BA277" s="1221">
        <v>0</v>
      </c>
      <c r="BB277" s="1221">
        <v>0</v>
      </c>
      <c r="BC277" s="1221">
        <v>0</v>
      </c>
      <c r="BD277" s="1221">
        <v>0</v>
      </c>
      <c r="BE277" s="1221">
        <v>0</v>
      </c>
      <c r="BF277" s="1221">
        <v>0</v>
      </c>
      <c r="BG277" s="1221">
        <v>0</v>
      </c>
      <c r="BH277" s="1221">
        <v>0</v>
      </c>
      <c r="BI277" s="1221">
        <v>0</v>
      </c>
      <c r="BJ277" s="1221">
        <v>0</v>
      </c>
      <c r="BK277" s="1221">
        <v>0</v>
      </c>
      <c r="BL277" s="1221">
        <v>0</v>
      </c>
      <c r="BM277" s="1221">
        <v>0</v>
      </c>
      <c r="BN277" s="1221">
        <v>0</v>
      </c>
      <c r="BO277" s="1221">
        <v>0</v>
      </c>
      <c r="BP277" s="1184"/>
      <c r="BQ277" s="1184"/>
      <c r="BR277" s="1184"/>
      <c r="BS277" s="1184"/>
      <c r="BT277" s="1184"/>
      <c r="BU277" s="1184"/>
      <c r="BV277" s="1184"/>
      <c r="BW277" s="1184"/>
      <c r="BX277" s="1184"/>
      <c r="BY277" s="1184"/>
      <c r="BZ277" s="208"/>
      <c r="CA277" s="208"/>
      <c r="CB277" s="208"/>
      <c r="CC277" s="208"/>
      <c r="CD277" s="211"/>
    </row>
    <row r="278" ht="18" customHeight="1">
      <c r="A278" s="1234">
        <v>1</v>
      </c>
      <c r="B278" s="1236">
        <f>HLOOKUP($F$21,$M$26:$AP$64,2,-1)</f>
        <v>0.04</v>
      </c>
      <c r="C278" s="1236"/>
      <c r="D278" s="1236"/>
      <c r="E278" s="1217"/>
      <c r="F278" s="1233">
        <f>ROUND($B278*$F$271,0)</f>
        <v>0</v>
      </c>
      <c r="G278" s="1217"/>
      <c r="H278" s="1217"/>
      <c r="I278" s="1217"/>
      <c r="J278" s="1217"/>
      <c r="K278" s="1233">
        <f>ROUND($B278*$K$20,0)</f>
        <v>0</v>
      </c>
      <c r="L278" s="1220"/>
      <c r="M278" s="1216"/>
      <c r="N278" s="1217"/>
      <c r="O278" s="1221">
        <v>18</v>
      </c>
      <c r="P278" s="1233">
        <f t="shared" si="3042" ref="P278:AE293">$F$221</f>
        <v>0</v>
      </c>
      <c r="Q278" s="1233">
        <f t="shared" si="3023"/>
        <v>0</v>
      </c>
      <c r="R278" s="1233">
        <f t="shared" si="3008"/>
        <v>0</v>
      </c>
      <c r="S278" s="1233">
        <f t="shared" si="2994"/>
        <v>0</v>
      </c>
      <c r="T278" s="1233">
        <f t="shared" si="2981"/>
        <v>0</v>
      </c>
      <c r="U278" s="1233">
        <f t="shared" si="2969"/>
        <v>0</v>
      </c>
      <c r="V278" s="1233">
        <f t="shared" si="2957"/>
        <v>0</v>
      </c>
      <c r="W278" s="1233">
        <f t="shared" si="2946"/>
        <v>0</v>
      </c>
      <c r="X278" s="1233">
        <f t="shared" si="2936"/>
        <v>0</v>
      </c>
      <c r="Y278" s="1233">
        <f t="shared" si="2928"/>
        <v>0</v>
      </c>
      <c r="Z278" s="1233">
        <f t="shared" si="2921"/>
        <v>0</v>
      </c>
      <c r="AA278" s="1233">
        <f t="shared" si="2915"/>
        <v>0</v>
      </c>
      <c r="AB278" s="1233">
        <f t="shared" si="2910"/>
        <v>0</v>
      </c>
      <c r="AC278" s="1233">
        <f t="shared" si="2906"/>
        <v>0</v>
      </c>
      <c r="AD278" s="1233">
        <f t="shared" si="2903"/>
        <v>0</v>
      </c>
      <c r="AE278" s="1233">
        <f t="shared" si="2901"/>
        <v>0</v>
      </c>
      <c r="AF278" s="1233">
        <f t="shared" si="3058" ref="AF278:AU293">$F$205</f>
        <v>0</v>
      </c>
      <c r="AG278" s="1221">
        <v>0</v>
      </c>
      <c r="AH278" s="1221">
        <v>0</v>
      </c>
      <c r="AI278" s="1221">
        <v>0</v>
      </c>
      <c r="AJ278" s="1221">
        <v>0</v>
      </c>
      <c r="AK278" s="1221">
        <v>0</v>
      </c>
      <c r="AL278" s="1221">
        <v>0</v>
      </c>
      <c r="AM278" s="1221">
        <v>0</v>
      </c>
      <c r="AN278" s="1221">
        <v>0</v>
      </c>
      <c r="AO278" s="1221">
        <v>0</v>
      </c>
      <c r="AP278" s="1221">
        <v>0</v>
      </c>
      <c r="AQ278" s="1221">
        <v>0</v>
      </c>
      <c r="AR278" s="1221">
        <v>0</v>
      </c>
      <c r="AS278" s="1221">
        <v>0</v>
      </c>
      <c r="AT278" s="1221">
        <v>0</v>
      </c>
      <c r="AU278" s="1221">
        <v>0</v>
      </c>
      <c r="AV278" s="1221">
        <v>0</v>
      </c>
      <c r="AW278" s="1221">
        <v>0</v>
      </c>
      <c r="AX278" s="1221">
        <v>0</v>
      </c>
      <c r="AY278" s="1221">
        <v>0</v>
      </c>
      <c r="AZ278" s="1221">
        <v>0</v>
      </c>
      <c r="BA278" s="1221">
        <v>0</v>
      </c>
      <c r="BB278" s="1221">
        <v>0</v>
      </c>
      <c r="BC278" s="1221">
        <v>0</v>
      </c>
      <c r="BD278" s="1221">
        <v>0</v>
      </c>
      <c r="BE278" s="1221">
        <v>0</v>
      </c>
      <c r="BF278" s="1221">
        <v>0</v>
      </c>
      <c r="BG278" s="1221">
        <v>0</v>
      </c>
      <c r="BH278" s="1221">
        <v>0</v>
      </c>
      <c r="BI278" s="1221">
        <v>0</v>
      </c>
      <c r="BJ278" s="1221">
        <v>0</v>
      </c>
      <c r="BK278" s="1221">
        <v>0</v>
      </c>
      <c r="BL278" s="1221">
        <v>0</v>
      </c>
      <c r="BM278" s="1221">
        <v>0</v>
      </c>
      <c r="BN278" s="1221">
        <v>0</v>
      </c>
      <c r="BO278" s="1221">
        <v>0</v>
      </c>
      <c r="BP278" s="1184"/>
      <c r="BQ278" s="1184"/>
      <c r="BR278" s="1184"/>
      <c r="BS278" s="1184"/>
      <c r="BT278" s="1184"/>
      <c r="BU278" s="1184"/>
      <c r="BV278" s="1184"/>
      <c r="BW278" s="1184"/>
      <c r="BX278" s="1184"/>
      <c r="BY278" s="1184"/>
      <c r="BZ278" s="208"/>
      <c r="CA278" s="208"/>
      <c r="CB278" s="208"/>
      <c r="CC278" s="208"/>
      <c r="CD278" s="211"/>
    </row>
    <row r="279" ht="18" customHeight="1">
      <c r="A279" s="1234">
        <v>2</v>
      </c>
      <c r="B279" s="1236">
        <f>HLOOKUP($F$21,$M$26:$AP$64,3,-1)</f>
        <v>0.06</v>
      </c>
      <c r="C279" s="1236"/>
      <c r="D279" s="1236"/>
      <c r="E279" s="1217"/>
      <c r="F279" s="1233">
        <f>ROUND($B279*$F$271,0)</f>
        <v>0</v>
      </c>
      <c r="G279" s="1217"/>
      <c r="H279" s="1217"/>
      <c r="I279" s="1217"/>
      <c r="J279" s="1217"/>
      <c r="K279" s="1233">
        <f>ROUND($B279*$K$20,0)</f>
        <v>0</v>
      </c>
      <c r="L279" s="1220"/>
      <c r="M279" s="1216"/>
      <c r="N279" s="1217"/>
      <c r="O279" s="1221">
        <v>19</v>
      </c>
      <c r="P279" s="1233">
        <f t="shared" si="3062" ref="P279:AE294">$F$222</f>
        <v>0</v>
      </c>
      <c r="Q279" s="1233">
        <f t="shared" si="3042"/>
        <v>0</v>
      </c>
      <c r="R279" s="1233">
        <f t="shared" si="3023"/>
        <v>0</v>
      </c>
      <c r="S279" s="1233">
        <f t="shared" si="3008"/>
        <v>0</v>
      </c>
      <c r="T279" s="1233">
        <f t="shared" si="2994"/>
        <v>0</v>
      </c>
      <c r="U279" s="1233">
        <f t="shared" si="2981"/>
        <v>0</v>
      </c>
      <c r="V279" s="1233">
        <f t="shared" si="2969"/>
        <v>0</v>
      </c>
      <c r="W279" s="1233">
        <f t="shared" si="2957"/>
        <v>0</v>
      </c>
      <c r="X279" s="1233">
        <f t="shared" si="2946"/>
        <v>0</v>
      </c>
      <c r="Y279" s="1233">
        <f t="shared" si="2936"/>
        <v>0</v>
      </c>
      <c r="Z279" s="1233">
        <f t="shared" si="2928"/>
        <v>0</v>
      </c>
      <c r="AA279" s="1233">
        <f t="shared" si="2921"/>
        <v>0</v>
      </c>
      <c r="AB279" s="1233">
        <f t="shared" si="2915"/>
        <v>0</v>
      </c>
      <c r="AC279" s="1233">
        <f t="shared" si="2910"/>
        <v>0</v>
      </c>
      <c r="AD279" s="1233">
        <f t="shared" si="2906"/>
        <v>0</v>
      </c>
      <c r="AE279" s="1233">
        <f t="shared" si="2903"/>
        <v>0</v>
      </c>
      <c r="AF279" s="1233">
        <f t="shared" si="3078" ref="AF279:AU294">$F$206</f>
        <v>0</v>
      </c>
      <c r="AG279" s="1233">
        <f t="shared" si="3058"/>
        <v>0</v>
      </c>
      <c r="AH279" s="1221">
        <v>0</v>
      </c>
      <c r="AI279" s="1221">
        <v>0</v>
      </c>
      <c r="AJ279" s="1221">
        <v>0</v>
      </c>
      <c r="AK279" s="1221">
        <v>0</v>
      </c>
      <c r="AL279" s="1221">
        <v>0</v>
      </c>
      <c r="AM279" s="1221">
        <v>0</v>
      </c>
      <c r="AN279" s="1221">
        <v>0</v>
      </c>
      <c r="AO279" s="1221">
        <v>0</v>
      </c>
      <c r="AP279" s="1221">
        <v>0</v>
      </c>
      <c r="AQ279" s="1221">
        <v>0</v>
      </c>
      <c r="AR279" s="1221">
        <v>0</v>
      </c>
      <c r="AS279" s="1221">
        <v>0</v>
      </c>
      <c r="AT279" s="1221">
        <v>0</v>
      </c>
      <c r="AU279" s="1221">
        <v>0</v>
      </c>
      <c r="AV279" s="1221">
        <v>0</v>
      </c>
      <c r="AW279" s="1221">
        <v>0</v>
      </c>
      <c r="AX279" s="1221">
        <v>0</v>
      </c>
      <c r="AY279" s="1221">
        <v>0</v>
      </c>
      <c r="AZ279" s="1221">
        <v>0</v>
      </c>
      <c r="BA279" s="1221">
        <v>0</v>
      </c>
      <c r="BB279" s="1221">
        <v>0</v>
      </c>
      <c r="BC279" s="1221">
        <v>0</v>
      </c>
      <c r="BD279" s="1221">
        <v>0</v>
      </c>
      <c r="BE279" s="1221">
        <v>0</v>
      </c>
      <c r="BF279" s="1221">
        <v>0</v>
      </c>
      <c r="BG279" s="1221">
        <v>0</v>
      </c>
      <c r="BH279" s="1221">
        <v>0</v>
      </c>
      <c r="BI279" s="1221">
        <v>0</v>
      </c>
      <c r="BJ279" s="1221">
        <v>0</v>
      </c>
      <c r="BK279" s="1221">
        <v>0</v>
      </c>
      <c r="BL279" s="1221">
        <v>0</v>
      </c>
      <c r="BM279" s="1221">
        <v>0</v>
      </c>
      <c r="BN279" s="1221">
        <v>0</v>
      </c>
      <c r="BO279" s="1221">
        <v>0</v>
      </c>
      <c r="BP279" s="1184"/>
      <c r="BQ279" s="1184"/>
      <c r="BR279" s="1184"/>
      <c r="BS279" s="1184"/>
      <c r="BT279" s="1184"/>
      <c r="BU279" s="1184"/>
      <c r="BV279" s="1184"/>
      <c r="BW279" s="1184"/>
      <c r="BX279" s="1184"/>
      <c r="BY279" s="1184"/>
      <c r="BZ279" s="208"/>
      <c r="CA279" s="208"/>
      <c r="CB279" s="208"/>
      <c r="CC279" s="208"/>
      <c r="CD279" s="211"/>
    </row>
    <row r="280" ht="18" customHeight="1">
      <c r="A280" s="1234">
        <v>3</v>
      </c>
      <c r="B280" s="1236">
        <f>HLOOKUP($F$21,$M$26:$AP$64,4,-1)</f>
        <v>0.08</v>
      </c>
      <c r="C280" s="1236"/>
      <c r="D280" s="1236"/>
      <c r="E280" s="1217"/>
      <c r="F280" s="1233">
        <f>ROUND($B280*$F$271,0)</f>
        <v>0</v>
      </c>
      <c r="G280" s="1217"/>
      <c r="H280" s="1217"/>
      <c r="I280" s="1217"/>
      <c r="J280" s="1217"/>
      <c r="K280" s="1233">
        <f>ROUND($B280*$K$20,0)</f>
        <v>0</v>
      </c>
      <c r="L280" s="1220"/>
      <c r="M280" s="1216"/>
      <c r="N280" s="1217"/>
      <c r="O280" s="1221">
        <v>20</v>
      </c>
      <c r="P280" s="1233">
        <f t="shared" si="3083" ref="P280:AE295">$F$223</f>
        <v>0</v>
      </c>
      <c r="Q280" s="1233">
        <f t="shared" si="3062"/>
        <v>0</v>
      </c>
      <c r="R280" s="1233">
        <f t="shared" si="3042"/>
        <v>0</v>
      </c>
      <c r="S280" s="1233">
        <f t="shared" si="3023"/>
        <v>0</v>
      </c>
      <c r="T280" s="1233">
        <f t="shared" si="3008"/>
        <v>0</v>
      </c>
      <c r="U280" s="1233">
        <f t="shared" si="2994"/>
        <v>0</v>
      </c>
      <c r="V280" s="1233">
        <f t="shared" si="2981"/>
        <v>0</v>
      </c>
      <c r="W280" s="1233">
        <f t="shared" si="2969"/>
        <v>0</v>
      </c>
      <c r="X280" s="1233">
        <f t="shared" si="2957"/>
        <v>0</v>
      </c>
      <c r="Y280" s="1233">
        <f t="shared" si="2946"/>
        <v>0</v>
      </c>
      <c r="Z280" s="1233">
        <f t="shared" si="2936"/>
        <v>0</v>
      </c>
      <c r="AA280" s="1233">
        <f t="shared" si="2928"/>
        <v>0</v>
      </c>
      <c r="AB280" s="1233">
        <f t="shared" si="2921"/>
        <v>0</v>
      </c>
      <c r="AC280" s="1233">
        <f t="shared" si="2915"/>
        <v>0</v>
      </c>
      <c r="AD280" s="1233">
        <f t="shared" si="2910"/>
        <v>0</v>
      </c>
      <c r="AE280" s="1233">
        <f t="shared" si="2906"/>
        <v>0</v>
      </c>
      <c r="AF280" s="1233">
        <f t="shared" si="3099" ref="AF280:AU295">$F$207</f>
        <v>0</v>
      </c>
      <c r="AG280" s="1233">
        <f t="shared" si="3078"/>
        <v>0</v>
      </c>
      <c r="AH280" s="1233">
        <f t="shared" si="3058"/>
        <v>0</v>
      </c>
      <c r="AI280" s="1221">
        <v>0</v>
      </c>
      <c r="AJ280" s="1221">
        <v>0</v>
      </c>
      <c r="AK280" s="1221">
        <v>0</v>
      </c>
      <c r="AL280" s="1221">
        <v>0</v>
      </c>
      <c r="AM280" s="1221">
        <v>0</v>
      </c>
      <c r="AN280" s="1221">
        <v>0</v>
      </c>
      <c r="AO280" s="1221">
        <v>0</v>
      </c>
      <c r="AP280" s="1221">
        <v>0</v>
      </c>
      <c r="AQ280" s="1221">
        <v>0</v>
      </c>
      <c r="AR280" s="1221">
        <v>0</v>
      </c>
      <c r="AS280" s="1221">
        <v>0</v>
      </c>
      <c r="AT280" s="1221">
        <v>0</v>
      </c>
      <c r="AU280" s="1221">
        <v>0</v>
      </c>
      <c r="AV280" s="1221">
        <v>0</v>
      </c>
      <c r="AW280" s="1221">
        <v>0</v>
      </c>
      <c r="AX280" s="1221">
        <v>0</v>
      </c>
      <c r="AY280" s="1221">
        <v>0</v>
      </c>
      <c r="AZ280" s="1221">
        <v>0</v>
      </c>
      <c r="BA280" s="1221">
        <v>0</v>
      </c>
      <c r="BB280" s="1221">
        <v>0</v>
      </c>
      <c r="BC280" s="1221">
        <v>0</v>
      </c>
      <c r="BD280" s="1221">
        <v>0</v>
      </c>
      <c r="BE280" s="1221">
        <v>0</v>
      </c>
      <c r="BF280" s="1221">
        <v>0</v>
      </c>
      <c r="BG280" s="1221">
        <v>0</v>
      </c>
      <c r="BH280" s="1221">
        <v>0</v>
      </c>
      <c r="BI280" s="1221">
        <v>0</v>
      </c>
      <c r="BJ280" s="1221">
        <v>0</v>
      </c>
      <c r="BK280" s="1221">
        <v>0</v>
      </c>
      <c r="BL280" s="1221">
        <v>0</v>
      </c>
      <c r="BM280" s="1221">
        <v>0</v>
      </c>
      <c r="BN280" s="1221">
        <v>0</v>
      </c>
      <c r="BO280" s="1221">
        <v>0</v>
      </c>
      <c r="BP280" s="1184"/>
      <c r="BQ280" s="1184"/>
      <c r="BR280" s="1184"/>
      <c r="BS280" s="1184"/>
      <c r="BT280" s="1184"/>
      <c r="BU280" s="1184"/>
      <c r="BV280" s="1184"/>
      <c r="BW280" s="1184"/>
      <c r="BX280" s="1184"/>
      <c r="BY280" s="1184"/>
      <c r="BZ280" s="208"/>
      <c r="CA280" s="208"/>
      <c r="CB280" s="208"/>
      <c r="CC280" s="208"/>
      <c r="CD280" s="211"/>
    </row>
    <row r="281" ht="18" customHeight="1">
      <c r="A281" s="1234">
        <v>4</v>
      </c>
      <c r="B281" s="1236">
        <f>HLOOKUP($F$21,$M$26:$AP$64,5,-1)</f>
        <v>0.09</v>
      </c>
      <c r="C281" s="1236"/>
      <c r="D281" s="1236"/>
      <c r="E281" s="1217"/>
      <c r="F281" s="1233">
        <f>ROUND($B281*$F$271,0)</f>
        <v>0</v>
      </c>
      <c r="G281" s="1217"/>
      <c r="H281" s="1217"/>
      <c r="I281" s="1217"/>
      <c r="J281" s="1217"/>
      <c r="K281" s="1233">
        <f>ROUND($B281*$K$20,0)</f>
        <v>0</v>
      </c>
      <c r="L281" s="1220"/>
      <c r="M281" s="1216"/>
      <c r="N281" s="1217"/>
      <c r="O281" s="1221">
        <v>21</v>
      </c>
      <c r="P281" s="1233">
        <f t="shared" si="3105" ref="P281:AE296">$F$224</f>
        <v>0</v>
      </c>
      <c r="Q281" s="1233">
        <f t="shared" si="3083"/>
        <v>0</v>
      </c>
      <c r="R281" s="1233">
        <f t="shared" si="3062"/>
        <v>0</v>
      </c>
      <c r="S281" s="1233">
        <f t="shared" si="3042"/>
        <v>0</v>
      </c>
      <c r="T281" s="1233">
        <f t="shared" si="3023"/>
        <v>0</v>
      </c>
      <c r="U281" s="1233">
        <f t="shared" si="3008"/>
        <v>0</v>
      </c>
      <c r="V281" s="1233">
        <f t="shared" si="2994"/>
        <v>0</v>
      </c>
      <c r="W281" s="1233">
        <f t="shared" si="2981"/>
        <v>0</v>
      </c>
      <c r="X281" s="1233">
        <f t="shared" si="2969"/>
        <v>0</v>
      </c>
      <c r="Y281" s="1233">
        <f t="shared" si="2957"/>
        <v>0</v>
      </c>
      <c r="Z281" s="1233">
        <f t="shared" si="2946"/>
        <v>0</v>
      </c>
      <c r="AA281" s="1233">
        <f t="shared" si="2936"/>
        <v>0</v>
      </c>
      <c r="AB281" s="1233">
        <f t="shared" si="2928"/>
        <v>0</v>
      </c>
      <c r="AC281" s="1233">
        <f t="shared" si="2921"/>
        <v>0</v>
      </c>
      <c r="AD281" s="1233">
        <f t="shared" si="2915"/>
        <v>0</v>
      </c>
      <c r="AE281" s="1233">
        <f t="shared" si="2910"/>
        <v>0</v>
      </c>
      <c r="AF281" s="1233">
        <f t="shared" si="3121" ref="AF281:AU296">$F$208</f>
        <v>0</v>
      </c>
      <c r="AG281" s="1233">
        <f t="shared" si="3099"/>
        <v>0</v>
      </c>
      <c r="AH281" s="1233">
        <f t="shared" si="3078"/>
        <v>0</v>
      </c>
      <c r="AI281" s="1233">
        <f t="shared" si="3058"/>
        <v>0</v>
      </c>
      <c r="AJ281" s="1221">
        <v>0</v>
      </c>
      <c r="AK281" s="1221">
        <v>0</v>
      </c>
      <c r="AL281" s="1221">
        <v>0</v>
      </c>
      <c r="AM281" s="1221">
        <v>0</v>
      </c>
      <c r="AN281" s="1221">
        <v>0</v>
      </c>
      <c r="AO281" s="1221">
        <v>0</v>
      </c>
      <c r="AP281" s="1221">
        <v>0</v>
      </c>
      <c r="AQ281" s="1221">
        <v>0</v>
      </c>
      <c r="AR281" s="1221">
        <v>0</v>
      </c>
      <c r="AS281" s="1221">
        <v>0</v>
      </c>
      <c r="AT281" s="1221">
        <v>0</v>
      </c>
      <c r="AU281" s="1221">
        <v>0</v>
      </c>
      <c r="AV281" s="1221">
        <v>0</v>
      </c>
      <c r="AW281" s="1221">
        <v>0</v>
      </c>
      <c r="AX281" s="1221">
        <v>0</v>
      </c>
      <c r="AY281" s="1221">
        <v>0</v>
      </c>
      <c r="AZ281" s="1221">
        <v>0</v>
      </c>
      <c r="BA281" s="1221">
        <v>0</v>
      </c>
      <c r="BB281" s="1221">
        <v>0</v>
      </c>
      <c r="BC281" s="1221">
        <v>0</v>
      </c>
      <c r="BD281" s="1221">
        <v>0</v>
      </c>
      <c r="BE281" s="1221">
        <v>0</v>
      </c>
      <c r="BF281" s="1221">
        <v>0</v>
      </c>
      <c r="BG281" s="1221">
        <v>0</v>
      </c>
      <c r="BH281" s="1221">
        <v>0</v>
      </c>
      <c r="BI281" s="1221">
        <v>0</v>
      </c>
      <c r="BJ281" s="1221">
        <v>0</v>
      </c>
      <c r="BK281" s="1221">
        <v>0</v>
      </c>
      <c r="BL281" s="1221">
        <v>0</v>
      </c>
      <c r="BM281" s="1221">
        <v>0</v>
      </c>
      <c r="BN281" s="1221">
        <v>0</v>
      </c>
      <c r="BO281" s="1221">
        <v>0</v>
      </c>
      <c r="BP281" s="1184"/>
      <c r="BQ281" s="1184"/>
      <c r="BR281" s="1184"/>
      <c r="BS281" s="1184"/>
      <c r="BT281" s="1184"/>
      <c r="BU281" s="1184"/>
      <c r="BV281" s="1184"/>
      <c r="BW281" s="1184"/>
      <c r="BX281" s="1184"/>
      <c r="BY281" s="1184"/>
      <c r="BZ281" s="208"/>
      <c r="CA281" s="208"/>
      <c r="CB281" s="208"/>
      <c r="CC281" s="208"/>
      <c r="CD281" s="211"/>
    </row>
    <row r="282" ht="18" customHeight="1">
      <c r="A282" s="1234">
        <v>5</v>
      </c>
      <c r="B282" s="1236">
        <f>HLOOKUP($F$21,$M$26:$AP$64,6,-1)</f>
        <v>0.1</v>
      </c>
      <c r="C282" s="1236"/>
      <c r="D282" s="1236"/>
      <c r="E282" s="1217"/>
      <c r="F282" s="1233">
        <f>ROUND($B282*$F$271,0)</f>
        <v>0</v>
      </c>
      <c r="G282" s="1217"/>
      <c r="H282" s="1217"/>
      <c r="I282" s="1217"/>
      <c r="J282" s="1217"/>
      <c r="K282" s="1233">
        <f>ROUND($B282*$K$20,0)</f>
        <v>0</v>
      </c>
      <c r="L282" s="1220"/>
      <c r="M282" s="1216"/>
      <c r="N282" s="1217"/>
      <c r="O282" s="1221">
        <v>22</v>
      </c>
      <c r="P282" s="1233">
        <f t="shared" si="3128" ref="P282:AE297">$F$225</f>
        <v>0</v>
      </c>
      <c r="Q282" s="1233">
        <f t="shared" si="3105"/>
        <v>0</v>
      </c>
      <c r="R282" s="1233">
        <f t="shared" si="3083"/>
        <v>0</v>
      </c>
      <c r="S282" s="1233">
        <f t="shared" si="3062"/>
        <v>0</v>
      </c>
      <c r="T282" s="1233">
        <f t="shared" si="3042"/>
        <v>0</v>
      </c>
      <c r="U282" s="1233">
        <f t="shared" si="3023"/>
        <v>0</v>
      </c>
      <c r="V282" s="1233">
        <f t="shared" si="3008"/>
        <v>0</v>
      </c>
      <c r="W282" s="1233">
        <f t="shared" si="2994"/>
        <v>0</v>
      </c>
      <c r="X282" s="1233">
        <f t="shared" si="2981"/>
        <v>0</v>
      </c>
      <c r="Y282" s="1233">
        <f t="shared" si="2969"/>
        <v>0</v>
      </c>
      <c r="Z282" s="1233">
        <f t="shared" si="2957"/>
        <v>0</v>
      </c>
      <c r="AA282" s="1233">
        <f t="shared" si="2946"/>
        <v>0</v>
      </c>
      <c r="AB282" s="1233">
        <f t="shared" si="2936"/>
        <v>0</v>
      </c>
      <c r="AC282" s="1233">
        <f t="shared" si="2928"/>
        <v>0</v>
      </c>
      <c r="AD282" s="1233">
        <f t="shared" si="2921"/>
        <v>0</v>
      </c>
      <c r="AE282" s="1233">
        <f t="shared" si="2915"/>
        <v>0</v>
      </c>
      <c r="AF282" s="1233">
        <f t="shared" si="3144" ref="AF282:AU297">$F$209</f>
        <v>0</v>
      </c>
      <c r="AG282" s="1233">
        <f t="shared" si="3121"/>
        <v>0</v>
      </c>
      <c r="AH282" s="1233">
        <f t="shared" si="3099"/>
        <v>0</v>
      </c>
      <c r="AI282" s="1233">
        <f t="shared" si="3078"/>
        <v>0</v>
      </c>
      <c r="AJ282" s="1233">
        <f t="shared" si="3058"/>
        <v>0</v>
      </c>
      <c r="AK282" s="1221">
        <v>0</v>
      </c>
      <c r="AL282" s="1221">
        <v>0</v>
      </c>
      <c r="AM282" s="1221">
        <v>0</v>
      </c>
      <c r="AN282" s="1221">
        <v>0</v>
      </c>
      <c r="AO282" s="1221">
        <v>0</v>
      </c>
      <c r="AP282" s="1221">
        <v>0</v>
      </c>
      <c r="AQ282" s="1221">
        <v>0</v>
      </c>
      <c r="AR282" s="1221">
        <v>0</v>
      </c>
      <c r="AS282" s="1221">
        <v>0</v>
      </c>
      <c r="AT282" s="1221">
        <v>0</v>
      </c>
      <c r="AU282" s="1221">
        <v>0</v>
      </c>
      <c r="AV282" s="1221">
        <v>0</v>
      </c>
      <c r="AW282" s="1221">
        <v>0</v>
      </c>
      <c r="AX282" s="1221">
        <v>0</v>
      </c>
      <c r="AY282" s="1221">
        <v>0</v>
      </c>
      <c r="AZ282" s="1221">
        <v>0</v>
      </c>
      <c r="BA282" s="1221">
        <v>0</v>
      </c>
      <c r="BB282" s="1221">
        <v>0</v>
      </c>
      <c r="BC282" s="1221">
        <v>0</v>
      </c>
      <c r="BD282" s="1221">
        <v>0</v>
      </c>
      <c r="BE282" s="1221">
        <v>0</v>
      </c>
      <c r="BF282" s="1221">
        <v>0</v>
      </c>
      <c r="BG282" s="1221">
        <v>0</v>
      </c>
      <c r="BH282" s="1221">
        <v>0</v>
      </c>
      <c r="BI282" s="1221">
        <v>0</v>
      </c>
      <c r="BJ282" s="1221">
        <v>0</v>
      </c>
      <c r="BK282" s="1221">
        <v>0</v>
      </c>
      <c r="BL282" s="1221">
        <v>0</v>
      </c>
      <c r="BM282" s="1221">
        <v>0</v>
      </c>
      <c r="BN282" s="1221">
        <v>0</v>
      </c>
      <c r="BO282" s="1221">
        <v>0</v>
      </c>
      <c r="BP282" s="1184"/>
      <c r="BQ282" s="1184"/>
      <c r="BR282" s="1184"/>
      <c r="BS282" s="1184"/>
      <c r="BT282" s="1184"/>
      <c r="BU282" s="1184"/>
      <c r="BV282" s="1184"/>
      <c r="BW282" s="1184"/>
      <c r="BX282" s="1184"/>
      <c r="BY282" s="1184"/>
      <c r="BZ282" s="208"/>
      <c r="CA282" s="208"/>
      <c r="CB282" s="208"/>
      <c r="CC282" s="208"/>
      <c r="CD282" s="211"/>
    </row>
    <row r="283" ht="18" customHeight="1">
      <c r="A283" s="1234">
        <v>6</v>
      </c>
      <c r="B283" s="1236">
        <f>HLOOKUP($F$21,$M$26:$AP$64,7,-1)</f>
        <v>0.1</v>
      </c>
      <c r="C283" s="1236"/>
      <c r="D283" s="1236"/>
      <c r="E283" s="1217"/>
      <c r="F283" s="1233">
        <f>ROUND($B283*$F$271,0)</f>
        <v>0</v>
      </c>
      <c r="G283" s="1217"/>
      <c r="H283" s="1217"/>
      <c r="I283" s="1217"/>
      <c r="J283" s="1217"/>
      <c r="K283" s="1233">
        <f>ROUND($B283*$K$20,0)</f>
        <v>0</v>
      </c>
      <c r="L283" s="1220"/>
      <c r="M283" s="1216"/>
      <c r="N283" s="1217"/>
      <c r="O283" s="1221">
        <v>23</v>
      </c>
      <c r="P283" s="1233">
        <f t="shared" si="3152" ref="P283:AE298">$F$226</f>
        <v>0</v>
      </c>
      <c r="Q283" s="1233">
        <f t="shared" si="3128"/>
        <v>0</v>
      </c>
      <c r="R283" s="1233">
        <f t="shared" si="3105"/>
        <v>0</v>
      </c>
      <c r="S283" s="1233">
        <f t="shared" si="3083"/>
        <v>0</v>
      </c>
      <c r="T283" s="1233">
        <f t="shared" si="3062"/>
        <v>0</v>
      </c>
      <c r="U283" s="1233">
        <f t="shared" si="3042"/>
        <v>0</v>
      </c>
      <c r="V283" s="1233">
        <f t="shared" si="3023"/>
        <v>0</v>
      </c>
      <c r="W283" s="1233">
        <f t="shared" si="3008"/>
        <v>0</v>
      </c>
      <c r="X283" s="1233">
        <f t="shared" si="2994"/>
        <v>0</v>
      </c>
      <c r="Y283" s="1233">
        <f t="shared" si="2981"/>
        <v>0</v>
      </c>
      <c r="Z283" s="1233">
        <f t="shared" si="2969"/>
        <v>0</v>
      </c>
      <c r="AA283" s="1233">
        <f t="shared" si="2957"/>
        <v>0</v>
      </c>
      <c r="AB283" s="1233">
        <f t="shared" si="2946"/>
        <v>0</v>
      </c>
      <c r="AC283" s="1233">
        <f t="shared" si="2936"/>
        <v>0</v>
      </c>
      <c r="AD283" s="1233">
        <f t="shared" si="2928"/>
        <v>0</v>
      </c>
      <c r="AE283" s="1233">
        <f t="shared" si="2921"/>
        <v>0</v>
      </c>
      <c r="AF283" s="1233">
        <f t="shared" si="3168" ref="AF283:AU298">$F$210</f>
        <v>0</v>
      </c>
      <c r="AG283" s="1233">
        <f t="shared" si="3144"/>
        <v>0</v>
      </c>
      <c r="AH283" s="1233">
        <f t="shared" si="3121"/>
        <v>0</v>
      </c>
      <c r="AI283" s="1233">
        <f t="shared" si="3099"/>
        <v>0</v>
      </c>
      <c r="AJ283" s="1233">
        <f t="shared" si="3078"/>
        <v>0</v>
      </c>
      <c r="AK283" s="1233">
        <f t="shared" si="3058"/>
        <v>0</v>
      </c>
      <c r="AL283" s="1221">
        <v>0</v>
      </c>
      <c r="AM283" s="1221">
        <v>0</v>
      </c>
      <c r="AN283" s="1221">
        <v>0</v>
      </c>
      <c r="AO283" s="1221">
        <v>0</v>
      </c>
      <c r="AP283" s="1221">
        <v>0</v>
      </c>
      <c r="AQ283" s="1221">
        <v>0</v>
      </c>
      <c r="AR283" s="1221">
        <v>0</v>
      </c>
      <c r="AS283" s="1221">
        <v>0</v>
      </c>
      <c r="AT283" s="1221">
        <v>0</v>
      </c>
      <c r="AU283" s="1221">
        <v>0</v>
      </c>
      <c r="AV283" s="1221">
        <v>0</v>
      </c>
      <c r="AW283" s="1221">
        <v>0</v>
      </c>
      <c r="AX283" s="1221">
        <v>0</v>
      </c>
      <c r="AY283" s="1221">
        <v>0</v>
      </c>
      <c r="AZ283" s="1221">
        <v>0</v>
      </c>
      <c r="BA283" s="1221">
        <v>0</v>
      </c>
      <c r="BB283" s="1221">
        <v>0</v>
      </c>
      <c r="BC283" s="1221">
        <v>0</v>
      </c>
      <c r="BD283" s="1221">
        <v>0</v>
      </c>
      <c r="BE283" s="1221">
        <v>0</v>
      </c>
      <c r="BF283" s="1221">
        <v>0</v>
      </c>
      <c r="BG283" s="1221">
        <v>0</v>
      </c>
      <c r="BH283" s="1221">
        <v>0</v>
      </c>
      <c r="BI283" s="1221">
        <v>0</v>
      </c>
      <c r="BJ283" s="1221">
        <v>0</v>
      </c>
      <c r="BK283" s="1221">
        <v>0</v>
      </c>
      <c r="BL283" s="1221">
        <v>0</v>
      </c>
      <c r="BM283" s="1221">
        <v>0</v>
      </c>
      <c r="BN283" s="1221">
        <v>0</v>
      </c>
      <c r="BO283" s="1221">
        <v>0</v>
      </c>
      <c r="BP283" s="1184"/>
      <c r="BQ283" s="1184"/>
      <c r="BR283" s="1184"/>
      <c r="BS283" s="1184"/>
      <c r="BT283" s="1184"/>
      <c r="BU283" s="1184"/>
      <c r="BV283" s="1184"/>
      <c r="BW283" s="1184"/>
      <c r="BX283" s="1184"/>
      <c r="BY283" s="1184"/>
      <c r="BZ283" s="208"/>
      <c r="CA283" s="208"/>
      <c r="CB283" s="208"/>
      <c r="CC283" s="208"/>
      <c r="CD283" s="211"/>
    </row>
    <row r="284" ht="18" customHeight="1">
      <c r="A284" s="1234">
        <v>7</v>
      </c>
      <c r="B284" s="1236">
        <f>HLOOKUP($F$21,$M$26:$AP$64,8,-1)</f>
        <v>0.1</v>
      </c>
      <c r="C284" s="1236"/>
      <c r="D284" s="1236"/>
      <c r="E284" s="1217"/>
      <c r="F284" s="1233">
        <f>ROUND($B284*$F$271,0)</f>
        <v>0</v>
      </c>
      <c r="G284" s="1217"/>
      <c r="H284" s="1217"/>
      <c r="I284" s="1217"/>
      <c r="J284" s="1217"/>
      <c r="K284" s="1233">
        <f>ROUND($B284*$K$20,0)</f>
        <v>0</v>
      </c>
      <c r="L284" s="1220"/>
      <c r="M284" s="1216"/>
      <c r="N284" s="1217"/>
      <c r="O284" s="1221">
        <v>24</v>
      </c>
      <c r="P284" s="1233">
        <f t="shared" si="3177" ref="P284:AE299">$F$227</f>
        <v>0</v>
      </c>
      <c r="Q284" s="1233">
        <f t="shared" si="3152"/>
        <v>0</v>
      </c>
      <c r="R284" s="1233">
        <f t="shared" si="3128"/>
        <v>0</v>
      </c>
      <c r="S284" s="1233">
        <f t="shared" si="3105"/>
        <v>0</v>
      </c>
      <c r="T284" s="1233">
        <f t="shared" si="3083"/>
        <v>0</v>
      </c>
      <c r="U284" s="1233">
        <f t="shared" si="3062"/>
        <v>0</v>
      </c>
      <c r="V284" s="1233">
        <f t="shared" si="3042"/>
        <v>0</v>
      </c>
      <c r="W284" s="1233">
        <f t="shared" si="3023"/>
        <v>0</v>
      </c>
      <c r="X284" s="1233">
        <f t="shared" si="3008"/>
        <v>0</v>
      </c>
      <c r="Y284" s="1233">
        <f t="shared" si="2994"/>
        <v>0</v>
      </c>
      <c r="Z284" s="1233">
        <f t="shared" si="2981"/>
        <v>0</v>
      </c>
      <c r="AA284" s="1233">
        <f t="shared" si="2969"/>
        <v>0</v>
      </c>
      <c r="AB284" s="1233">
        <f t="shared" si="2957"/>
        <v>0</v>
      </c>
      <c r="AC284" s="1233">
        <f t="shared" si="2946"/>
        <v>0</v>
      </c>
      <c r="AD284" s="1233">
        <f t="shared" si="2936"/>
        <v>0</v>
      </c>
      <c r="AE284" s="1233">
        <f t="shared" si="2928"/>
        <v>0</v>
      </c>
      <c r="AF284" s="1233">
        <f t="shared" si="3193" ref="AF284:AU299">$F$211</f>
        <v>0</v>
      </c>
      <c r="AG284" s="1233">
        <f t="shared" si="3168"/>
        <v>0</v>
      </c>
      <c r="AH284" s="1233">
        <f t="shared" si="3144"/>
        <v>0</v>
      </c>
      <c r="AI284" s="1233">
        <f t="shared" si="3121"/>
        <v>0</v>
      </c>
      <c r="AJ284" s="1233">
        <f t="shared" si="3099"/>
        <v>0</v>
      </c>
      <c r="AK284" s="1233">
        <f t="shared" si="3078"/>
        <v>0</v>
      </c>
      <c r="AL284" s="1233">
        <f t="shared" si="3058"/>
        <v>0</v>
      </c>
      <c r="AM284" s="1221">
        <v>0</v>
      </c>
      <c r="AN284" s="1221">
        <v>0</v>
      </c>
      <c r="AO284" s="1221">
        <v>0</v>
      </c>
      <c r="AP284" s="1221">
        <v>0</v>
      </c>
      <c r="AQ284" s="1221">
        <v>0</v>
      </c>
      <c r="AR284" s="1221">
        <v>0</v>
      </c>
      <c r="AS284" s="1221">
        <v>0</v>
      </c>
      <c r="AT284" s="1221">
        <v>0</v>
      </c>
      <c r="AU284" s="1221">
        <v>0</v>
      </c>
      <c r="AV284" s="1221">
        <v>0</v>
      </c>
      <c r="AW284" s="1221">
        <v>0</v>
      </c>
      <c r="AX284" s="1221">
        <v>0</v>
      </c>
      <c r="AY284" s="1221">
        <v>0</v>
      </c>
      <c r="AZ284" s="1221">
        <v>0</v>
      </c>
      <c r="BA284" s="1221">
        <v>0</v>
      </c>
      <c r="BB284" s="1221">
        <v>0</v>
      </c>
      <c r="BC284" s="1221">
        <v>0</v>
      </c>
      <c r="BD284" s="1221">
        <v>0</v>
      </c>
      <c r="BE284" s="1221">
        <v>0</v>
      </c>
      <c r="BF284" s="1221">
        <v>0</v>
      </c>
      <c r="BG284" s="1221">
        <v>0</v>
      </c>
      <c r="BH284" s="1221">
        <v>0</v>
      </c>
      <c r="BI284" s="1221">
        <v>0</v>
      </c>
      <c r="BJ284" s="1221">
        <v>0</v>
      </c>
      <c r="BK284" s="1221">
        <v>0</v>
      </c>
      <c r="BL284" s="1221">
        <v>0</v>
      </c>
      <c r="BM284" s="1221">
        <v>0</v>
      </c>
      <c r="BN284" s="1221">
        <v>0</v>
      </c>
      <c r="BO284" s="1221">
        <v>0</v>
      </c>
      <c r="BP284" s="1184"/>
      <c r="BQ284" s="1184"/>
      <c r="BR284" s="1184"/>
      <c r="BS284" s="1184"/>
      <c r="BT284" s="1184"/>
      <c r="BU284" s="1184"/>
      <c r="BV284" s="1184"/>
      <c r="BW284" s="1184"/>
      <c r="BX284" s="1184"/>
      <c r="BY284" s="1184"/>
      <c r="BZ284" s="208"/>
      <c r="CA284" s="208"/>
      <c r="CB284" s="208"/>
      <c r="CC284" s="208"/>
      <c r="CD284" s="211"/>
    </row>
    <row r="285" ht="18" customHeight="1">
      <c r="A285" s="1234">
        <v>8</v>
      </c>
      <c r="B285" s="1236">
        <f>HLOOKUP($F$21,$M$26:$AP$64,9,-1)</f>
        <v>0.1</v>
      </c>
      <c r="C285" s="1236"/>
      <c r="D285" s="1236"/>
      <c r="E285" s="1217"/>
      <c r="F285" s="1233">
        <f>ROUND($B285*$F$271,0)</f>
        <v>0</v>
      </c>
      <c r="G285" s="1217"/>
      <c r="H285" s="1217"/>
      <c r="I285" s="1217"/>
      <c r="J285" s="1217"/>
      <c r="K285" s="1233">
        <f>ROUND($B285*$K$20,0)</f>
        <v>0</v>
      </c>
      <c r="L285" s="1220"/>
      <c r="M285" s="1216"/>
      <c r="N285" s="1217"/>
      <c r="O285" s="1221">
        <v>25</v>
      </c>
      <c r="P285" s="1233">
        <f t="shared" si="3203" ref="P285:AE300">$F$228</f>
        <v>0</v>
      </c>
      <c r="Q285" s="1233">
        <f t="shared" si="3177"/>
        <v>0</v>
      </c>
      <c r="R285" s="1233">
        <f t="shared" si="3152"/>
        <v>0</v>
      </c>
      <c r="S285" s="1233">
        <f t="shared" si="3128"/>
        <v>0</v>
      </c>
      <c r="T285" s="1233">
        <f t="shared" si="3105"/>
        <v>0</v>
      </c>
      <c r="U285" s="1233">
        <f t="shared" si="3083"/>
        <v>0</v>
      </c>
      <c r="V285" s="1233">
        <f t="shared" si="3062"/>
        <v>0</v>
      </c>
      <c r="W285" s="1233">
        <f t="shared" si="3042"/>
        <v>0</v>
      </c>
      <c r="X285" s="1233">
        <f t="shared" si="3023"/>
        <v>0</v>
      </c>
      <c r="Y285" s="1233">
        <f t="shared" si="3008"/>
        <v>0</v>
      </c>
      <c r="Z285" s="1233">
        <f t="shared" si="2994"/>
        <v>0</v>
      </c>
      <c r="AA285" s="1233">
        <f t="shared" si="2981"/>
        <v>0</v>
      </c>
      <c r="AB285" s="1233">
        <f t="shared" si="2969"/>
        <v>0</v>
      </c>
      <c r="AC285" s="1233">
        <f t="shared" si="2957"/>
        <v>0</v>
      </c>
      <c r="AD285" s="1233">
        <f t="shared" si="2946"/>
        <v>0</v>
      </c>
      <c r="AE285" s="1233">
        <f t="shared" si="2936"/>
        <v>0</v>
      </c>
      <c r="AF285" s="1233">
        <f t="shared" si="3219" ref="AF285:AU300">$F$212</f>
        <v>0</v>
      </c>
      <c r="AG285" s="1233">
        <f t="shared" si="3193"/>
        <v>0</v>
      </c>
      <c r="AH285" s="1233">
        <f t="shared" si="3168"/>
        <v>0</v>
      </c>
      <c r="AI285" s="1233">
        <f t="shared" si="3144"/>
        <v>0</v>
      </c>
      <c r="AJ285" s="1233">
        <f t="shared" si="3121"/>
        <v>0</v>
      </c>
      <c r="AK285" s="1233">
        <f t="shared" si="3099"/>
        <v>0</v>
      </c>
      <c r="AL285" s="1233">
        <f t="shared" si="3078"/>
        <v>0</v>
      </c>
      <c r="AM285" s="1233">
        <f t="shared" si="3058"/>
        <v>0</v>
      </c>
      <c r="AN285" s="1221">
        <v>0</v>
      </c>
      <c r="AO285" s="1221">
        <v>0</v>
      </c>
      <c r="AP285" s="1221">
        <v>0</v>
      </c>
      <c r="AQ285" s="1221">
        <v>0</v>
      </c>
      <c r="AR285" s="1221">
        <v>0</v>
      </c>
      <c r="AS285" s="1221">
        <v>0</v>
      </c>
      <c r="AT285" s="1221">
        <v>0</v>
      </c>
      <c r="AU285" s="1221">
        <v>0</v>
      </c>
      <c r="AV285" s="1221">
        <v>0</v>
      </c>
      <c r="AW285" s="1221">
        <v>0</v>
      </c>
      <c r="AX285" s="1221">
        <v>0</v>
      </c>
      <c r="AY285" s="1221">
        <v>0</v>
      </c>
      <c r="AZ285" s="1221">
        <v>0</v>
      </c>
      <c r="BA285" s="1221">
        <v>0</v>
      </c>
      <c r="BB285" s="1221">
        <v>0</v>
      </c>
      <c r="BC285" s="1221">
        <v>0</v>
      </c>
      <c r="BD285" s="1221">
        <v>0</v>
      </c>
      <c r="BE285" s="1221">
        <v>0</v>
      </c>
      <c r="BF285" s="1221">
        <v>0</v>
      </c>
      <c r="BG285" s="1221">
        <v>0</v>
      </c>
      <c r="BH285" s="1221">
        <v>0</v>
      </c>
      <c r="BI285" s="1221">
        <v>0</v>
      </c>
      <c r="BJ285" s="1221">
        <v>0</v>
      </c>
      <c r="BK285" s="1221">
        <v>0</v>
      </c>
      <c r="BL285" s="1221">
        <v>0</v>
      </c>
      <c r="BM285" s="1221">
        <v>0</v>
      </c>
      <c r="BN285" s="1221">
        <v>0</v>
      </c>
      <c r="BO285" s="1221">
        <v>0</v>
      </c>
      <c r="BP285" s="1184"/>
      <c r="BQ285" s="1184"/>
      <c r="BR285" s="1184"/>
      <c r="BS285" s="1184"/>
      <c r="BT285" s="1184"/>
      <c r="BU285" s="1184"/>
      <c r="BV285" s="1184"/>
      <c r="BW285" s="1184"/>
      <c r="BX285" s="1184"/>
      <c r="BY285" s="1184"/>
      <c r="BZ285" s="208"/>
      <c r="CA285" s="208"/>
      <c r="CB285" s="208"/>
      <c r="CC285" s="208"/>
      <c r="CD285" s="211"/>
    </row>
    <row r="286" ht="18" customHeight="1">
      <c r="A286" s="1234">
        <v>9</v>
      </c>
      <c r="B286" s="1236">
        <f>HLOOKUP($F$21,$M$26:$AP$64,10,-1)</f>
        <v>0.09</v>
      </c>
      <c r="C286" s="1236"/>
      <c r="D286" s="1236"/>
      <c r="E286" s="1217"/>
      <c r="F286" s="1233">
        <f>ROUND($B286*$F$271,0)</f>
        <v>0</v>
      </c>
      <c r="G286" s="1217"/>
      <c r="H286" s="1217"/>
      <c r="I286" s="1217"/>
      <c r="J286" s="1217"/>
      <c r="K286" s="1233">
        <f>ROUND($B286*$K$20,0)</f>
        <v>0</v>
      </c>
      <c r="L286" s="1220"/>
      <c r="M286" s="1216"/>
      <c r="N286" s="1217"/>
      <c r="O286" s="1221">
        <v>26</v>
      </c>
      <c r="P286" s="1233">
        <f t="shared" si="3230" ref="P286:AE301">$F$229</f>
        <v>0</v>
      </c>
      <c r="Q286" s="1233">
        <f t="shared" si="3203"/>
        <v>0</v>
      </c>
      <c r="R286" s="1233">
        <f t="shared" si="3177"/>
        <v>0</v>
      </c>
      <c r="S286" s="1233">
        <f t="shared" si="3152"/>
        <v>0</v>
      </c>
      <c r="T286" s="1233">
        <f t="shared" si="3128"/>
        <v>0</v>
      </c>
      <c r="U286" s="1233">
        <f t="shared" si="3105"/>
        <v>0</v>
      </c>
      <c r="V286" s="1233">
        <f t="shared" si="3083"/>
        <v>0</v>
      </c>
      <c r="W286" s="1233">
        <f t="shared" si="3062"/>
        <v>0</v>
      </c>
      <c r="X286" s="1233">
        <f t="shared" si="3042"/>
        <v>0</v>
      </c>
      <c r="Y286" s="1233">
        <f t="shared" si="3023"/>
        <v>0</v>
      </c>
      <c r="Z286" s="1233">
        <f t="shared" si="3008"/>
        <v>0</v>
      </c>
      <c r="AA286" s="1233">
        <f t="shared" si="2994"/>
        <v>0</v>
      </c>
      <c r="AB286" s="1233">
        <f t="shared" si="2981"/>
        <v>0</v>
      </c>
      <c r="AC286" s="1233">
        <f t="shared" si="2969"/>
        <v>0</v>
      </c>
      <c r="AD286" s="1233">
        <f t="shared" si="2957"/>
        <v>0</v>
      </c>
      <c r="AE286" s="1233">
        <f t="shared" si="2946"/>
        <v>0</v>
      </c>
      <c r="AF286" s="1233">
        <f t="shared" si="3246" ref="AF286:AU301">$F$213</f>
        <v>0</v>
      </c>
      <c r="AG286" s="1233">
        <f t="shared" si="3219"/>
        <v>0</v>
      </c>
      <c r="AH286" s="1233">
        <f t="shared" si="3193"/>
        <v>0</v>
      </c>
      <c r="AI286" s="1233">
        <f t="shared" si="3168"/>
        <v>0</v>
      </c>
      <c r="AJ286" s="1233">
        <f t="shared" si="3144"/>
        <v>0</v>
      </c>
      <c r="AK286" s="1233">
        <f t="shared" si="3121"/>
        <v>0</v>
      </c>
      <c r="AL286" s="1233">
        <f t="shared" si="3099"/>
        <v>0</v>
      </c>
      <c r="AM286" s="1233">
        <f t="shared" si="3078"/>
        <v>0</v>
      </c>
      <c r="AN286" s="1233">
        <f t="shared" si="3058"/>
        <v>0</v>
      </c>
      <c r="AO286" s="1221">
        <v>0</v>
      </c>
      <c r="AP286" s="1221">
        <v>0</v>
      </c>
      <c r="AQ286" s="1221">
        <v>0</v>
      </c>
      <c r="AR286" s="1221">
        <v>0</v>
      </c>
      <c r="AS286" s="1221">
        <v>0</v>
      </c>
      <c r="AT286" s="1221">
        <v>0</v>
      </c>
      <c r="AU286" s="1221">
        <v>0</v>
      </c>
      <c r="AV286" s="1221">
        <v>0</v>
      </c>
      <c r="AW286" s="1221">
        <v>0</v>
      </c>
      <c r="AX286" s="1221">
        <v>0</v>
      </c>
      <c r="AY286" s="1221">
        <v>0</v>
      </c>
      <c r="AZ286" s="1221">
        <v>0</v>
      </c>
      <c r="BA286" s="1221">
        <v>0</v>
      </c>
      <c r="BB286" s="1221">
        <v>0</v>
      </c>
      <c r="BC286" s="1221">
        <v>0</v>
      </c>
      <c r="BD286" s="1221">
        <v>0</v>
      </c>
      <c r="BE286" s="1221">
        <v>0</v>
      </c>
      <c r="BF286" s="1221">
        <v>0</v>
      </c>
      <c r="BG286" s="1221">
        <v>0</v>
      </c>
      <c r="BH286" s="1221">
        <v>0</v>
      </c>
      <c r="BI286" s="1221">
        <v>0</v>
      </c>
      <c r="BJ286" s="1221">
        <v>0</v>
      </c>
      <c r="BK286" s="1221">
        <v>0</v>
      </c>
      <c r="BL286" s="1221">
        <v>0</v>
      </c>
      <c r="BM286" s="1221">
        <v>0</v>
      </c>
      <c r="BN286" s="1221">
        <v>0</v>
      </c>
      <c r="BO286" s="1221">
        <v>0</v>
      </c>
      <c r="BP286" s="1184"/>
      <c r="BQ286" s="1184"/>
      <c r="BR286" s="1184"/>
      <c r="BS286" s="1184"/>
      <c r="BT286" s="1184"/>
      <c r="BU286" s="1184"/>
      <c r="BV286" s="1184"/>
      <c r="BW286" s="1184"/>
      <c r="BX286" s="1184"/>
      <c r="BY286" s="1184"/>
      <c r="BZ286" s="208"/>
      <c r="CA286" s="208"/>
      <c r="CB286" s="208"/>
      <c r="CC286" s="208"/>
      <c r="CD286" s="211"/>
    </row>
    <row r="287" ht="18" customHeight="1">
      <c r="A287" s="1234">
        <v>10</v>
      </c>
      <c r="B287" s="1236">
        <f>HLOOKUP($F$21,$M$26:$AP$64,11,-1)</f>
        <v>0.08</v>
      </c>
      <c r="C287" s="1236"/>
      <c r="D287" s="1236"/>
      <c r="E287" s="1217"/>
      <c r="F287" s="1233">
        <f>ROUND($B287*$F$271,0)</f>
        <v>0</v>
      </c>
      <c r="G287" s="1217"/>
      <c r="H287" s="1217"/>
      <c r="I287" s="1217"/>
      <c r="J287" s="1217"/>
      <c r="K287" s="1233">
        <f>ROUND($B287*$K$20,0)</f>
        <v>0</v>
      </c>
      <c r="L287" s="1220"/>
      <c r="M287" s="1216"/>
      <c r="N287" s="1217"/>
      <c r="O287" s="1221">
        <v>27</v>
      </c>
      <c r="P287" s="1233">
        <f t="shared" si="3258" ref="P287:AE302">$F$230</f>
        <v>0</v>
      </c>
      <c r="Q287" s="1233">
        <f t="shared" si="3230"/>
        <v>0</v>
      </c>
      <c r="R287" s="1233">
        <f t="shared" si="3203"/>
        <v>0</v>
      </c>
      <c r="S287" s="1233">
        <f t="shared" si="3177"/>
        <v>0</v>
      </c>
      <c r="T287" s="1233">
        <f t="shared" si="3152"/>
        <v>0</v>
      </c>
      <c r="U287" s="1233">
        <f t="shared" si="3128"/>
        <v>0</v>
      </c>
      <c r="V287" s="1233">
        <f t="shared" si="3105"/>
        <v>0</v>
      </c>
      <c r="W287" s="1233">
        <f t="shared" si="3083"/>
        <v>0</v>
      </c>
      <c r="X287" s="1233">
        <f t="shared" si="3062"/>
        <v>0</v>
      </c>
      <c r="Y287" s="1233">
        <f t="shared" si="3042"/>
        <v>0</v>
      </c>
      <c r="Z287" s="1233">
        <f t="shared" si="3023"/>
        <v>0</v>
      </c>
      <c r="AA287" s="1233">
        <f t="shared" si="3008"/>
        <v>0</v>
      </c>
      <c r="AB287" s="1233">
        <f t="shared" si="2994"/>
        <v>0</v>
      </c>
      <c r="AC287" s="1233">
        <f t="shared" si="2981"/>
        <v>0</v>
      </c>
      <c r="AD287" s="1233">
        <f t="shared" si="2969"/>
        <v>0</v>
      </c>
      <c r="AE287" s="1233">
        <f t="shared" si="2957"/>
        <v>0</v>
      </c>
      <c r="AF287" s="1233">
        <f t="shared" si="3274" ref="AF287:AU302">$F$214</f>
        <v>0</v>
      </c>
      <c r="AG287" s="1233">
        <f t="shared" si="3246"/>
        <v>0</v>
      </c>
      <c r="AH287" s="1233">
        <f t="shared" si="3219"/>
        <v>0</v>
      </c>
      <c r="AI287" s="1233">
        <f t="shared" si="3193"/>
        <v>0</v>
      </c>
      <c r="AJ287" s="1233">
        <f t="shared" si="3168"/>
        <v>0</v>
      </c>
      <c r="AK287" s="1233">
        <f t="shared" si="3144"/>
        <v>0</v>
      </c>
      <c r="AL287" s="1233">
        <f t="shared" si="3121"/>
        <v>0</v>
      </c>
      <c r="AM287" s="1233">
        <f t="shared" si="3099"/>
        <v>0</v>
      </c>
      <c r="AN287" s="1233">
        <f t="shared" si="3078"/>
        <v>0</v>
      </c>
      <c r="AO287" s="1233">
        <f t="shared" si="3058"/>
        <v>0</v>
      </c>
      <c r="AP287" s="1221">
        <v>0</v>
      </c>
      <c r="AQ287" s="1221">
        <v>0</v>
      </c>
      <c r="AR287" s="1221">
        <v>0</v>
      </c>
      <c r="AS287" s="1221">
        <v>0</v>
      </c>
      <c r="AT287" s="1221">
        <v>0</v>
      </c>
      <c r="AU287" s="1221">
        <v>0</v>
      </c>
      <c r="AV287" s="1221">
        <v>0</v>
      </c>
      <c r="AW287" s="1221">
        <v>0</v>
      </c>
      <c r="AX287" s="1221">
        <v>0</v>
      </c>
      <c r="AY287" s="1221">
        <v>0</v>
      </c>
      <c r="AZ287" s="1221">
        <v>0</v>
      </c>
      <c r="BA287" s="1221">
        <v>0</v>
      </c>
      <c r="BB287" s="1221">
        <v>0</v>
      </c>
      <c r="BC287" s="1221">
        <v>0</v>
      </c>
      <c r="BD287" s="1221">
        <v>0</v>
      </c>
      <c r="BE287" s="1221">
        <v>0</v>
      </c>
      <c r="BF287" s="1221">
        <v>0</v>
      </c>
      <c r="BG287" s="1221">
        <v>0</v>
      </c>
      <c r="BH287" s="1221">
        <v>0</v>
      </c>
      <c r="BI287" s="1221">
        <v>0</v>
      </c>
      <c r="BJ287" s="1221">
        <v>0</v>
      </c>
      <c r="BK287" s="1221">
        <v>0</v>
      </c>
      <c r="BL287" s="1221">
        <v>0</v>
      </c>
      <c r="BM287" s="1221">
        <v>0</v>
      </c>
      <c r="BN287" s="1221">
        <v>0</v>
      </c>
      <c r="BO287" s="1221">
        <v>0</v>
      </c>
      <c r="BP287" s="1184"/>
      <c r="BQ287" s="1184"/>
      <c r="BR287" s="1184"/>
      <c r="BS287" s="1184"/>
      <c r="BT287" s="1184"/>
      <c r="BU287" s="1184"/>
      <c r="BV287" s="1184"/>
      <c r="BW287" s="1184"/>
      <c r="BX287" s="1184"/>
      <c r="BY287" s="1184"/>
      <c r="BZ287" s="208"/>
      <c r="CA287" s="208"/>
      <c r="CB287" s="208"/>
      <c r="CC287" s="208"/>
      <c r="CD287" s="211"/>
    </row>
    <row r="288" ht="18" customHeight="1">
      <c r="A288" s="1234">
        <v>11</v>
      </c>
      <c r="B288" s="1236">
        <f>HLOOKUP($F$21,$M$26:$AP$64,12,-1)</f>
        <v>0.07000000000000001</v>
      </c>
      <c r="C288" s="1236"/>
      <c r="D288" s="1236"/>
      <c r="E288" s="1217"/>
      <c r="F288" s="1233">
        <f>ROUND($B288*$F$271,0)</f>
        <v>0</v>
      </c>
      <c r="G288" s="1217"/>
      <c r="H288" s="1217"/>
      <c r="I288" s="1217"/>
      <c r="J288" s="1217"/>
      <c r="K288" s="1233">
        <f>ROUND($B288*$K$20,0)</f>
        <v>0</v>
      </c>
      <c r="L288" s="1220"/>
      <c r="M288" s="1216"/>
      <c r="N288" s="1217"/>
      <c r="O288" s="1221">
        <v>28</v>
      </c>
      <c r="P288" s="1233">
        <f t="shared" si="3287" ref="P288:AE303">$F$231</f>
        <v>0</v>
      </c>
      <c r="Q288" s="1233">
        <f t="shared" si="3258"/>
        <v>0</v>
      </c>
      <c r="R288" s="1233">
        <f t="shared" si="3230"/>
        <v>0</v>
      </c>
      <c r="S288" s="1233">
        <f t="shared" si="3203"/>
        <v>0</v>
      </c>
      <c r="T288" s="1233">
        <f t="shared" si="3177"/>
        <v>0</v>
      </c>
      <c r="U288" s="1233">
        <f t="shared" si="3152"/>
        <v>0</v>
      </c>
      <c r="V288" s="1233">
        <f t="shared" si="3128"/>
        <v>0</v>
      </c>
      <c r="W288" s="1233">
        <f t="shared" si="3105"/>
        <v>0</v>
      </c>
      <c r="X288" s="1233">
        <f t="shared" si="3083"/>
        <v>0</v>
      </c>
      <c r="Y288" s="1233">
        <f t="shared" si="3062"/>
        <v>0</v>
      </c>
      <c r="Z288" s="1233">
        <f t="shared" si="3042"/>
        <v>0</v>
      </c>
      <c r="AA288" s="1233">
        <f t="shared" si="3023"/>
        <v>0</v>
      </c>
      <c r="AB288" s="1233">
        <f t="shared" si="3008"/>
        <v>0</v>
      </c>
      <c r="AC288" s="1233">
        <f t="shared" si="2994"/>
        <v>0</v>
      </c>
      <c r="AD288" s="1233">
        <f t="shared" si="2981"/>
        <v>0</v>
      </c>
      <c r="AE288" s="1233">
        <f t="shared" si="2969"/>
        <v>0</v>
      </c>
      <c r="AF288" s="1233">
        <f t="shared" si="3303" ref="AF288:AU303">$F$215</f>
        <v>0</v>
      </c>
      <c r="AG288" s="1233">
        <f t="shared" si="3274"/>
        <v>0</v>
      </c>
      <c r="AH288" s="1233">
        <f t="shared" si="3246"/>
        <v>0</v>
      </c>
      <c r="AI288" s="1233">
        <f t="shared" si="3219"/>
        <v>0</v>
      </c>
      <c r="AJ288" s="1233">
        <f t="shared" si="3193"/>
        <v>0</v>
      </c>
      <c r="AK288" s="1233">
        <f t="shared" si="3168"/>
        <v>0</v>
      </c>
      <c r="AL288" s="1233">
        <f t="shared" si="3144"/>
        <v>0</v>
      </c>
      <c r="AM288" s="1233">
        <f t="shared" si="3121"/>
        <v>0</v>
      </c>
      <c r="AN288" s="1233">
        <f t="shared" si="3099"/>
        <v>0</v>
      </c>
      <c r="AO288" s="1233">
        <f t="shared" si="3078"/>
        <v>0</v>
      </c>
      <c r="AP288" s="1233">
        <f t="shared" si="3058"/>
        <v>0</v>
      </c>
      <c r="AQ288" s="1221">
        <v>0</v>
      </c>
      <c r="AR288" s="1221">
        <v>0</v>
      </c>
      <c r="AS288" s="1221">
        <v>0</v>
      </c>
      <c r="AT288" s="1221">
        <v>0</v>
      </c>
      <c r="AU288" s="1221">
        <v>0</v>
      </c>
      <c r="AV288" s="1221">
        <v>0</v>
      </c>
      <c r="AW288" s="1221">
        <v>0</v>
      </c>
      <c r="AX288" s="1221">
        <v>0</v>
      </c>
      <c r="AY288" s="1221">
        <v>0</v>
      </c>
      <c r="AZ288" s="1221">
        <v>0</v>
      </c>
      <c r="BA288" s="1221">
        <v>0</v>
      </c>
      <c r="BB288" s="1221">
        <v>0</v>
      </c>
      <c r="BC288" s="1221">
        <v>0</v>
      </c>
      <c r="BD288" s="1221">
        <v>0</v>
      </c>
      <c r="BE288" s="1221">
        <v>0</v>
      </c>
      <c r="BF288" s="1221">
        <v>0</v>
      </c>
      <c r="BG288" s="1221">
        <v>0</v>
      </c>
      <c r="BH288" s="1221">
        <v>0</v>
      </c>
      <c r="BI288" s="1221">
        <v>0</v>
      </c>
      <c r="BJ288" s="1221">
        <v>0</v>
      </c>
      <c r="BK288" s="1221">
        <v>0</v>
      </c>
      <c r="BL288" s="1221">
        <v>0</v>
      </c>
      <c r="BM288" s="1221">
        <v>0</v>
      </c>
      <c r="BN288" s="1221">
        <v>0</v>
      </c>
      <c r="BO288" s="1221">
        <v>0</v>
      </c>
      <c r="BP288" s="1184"/>
      <c r="BQ288" s="1184"/>
      <c r="BR288" s="1184"/>
      <c r="BS288" s="1184"/>
      <c r="BT288" s="1184"/>
      <c r="BU288" s="1184"/>
      <c r="BV288" s="1184"/>
      <c r="BW288" s="1184"/>
      <c r="BX288" s="1184"/>
      <c r="BY288" s="1184"/>
      <c r="BZ288" s="208"/>
      <c r="CA288" s="208"/>
      <c r="CB288" s="208"/>
      <c r="CC288" s="208"/>
      <c r="CD288" s="211"/>
    </row>
    <row r="289" ht="18" customHeight="1">
      <c r="A289" s="1234">
        <v>12</v>
      </c>
      <c r="B289" s="1236">
        <f>HLOOKUP($F$21,$M$26:$AP$64,13,-1)</f>
        <v>0.09</v>
      </c>
      <c r="C289" s="1236"/>
      <c r="D289" s="1236"/>
      <c r="E289" s="1217"/>
      <c r="F289" s="1233">
        <f>ROUND($B289*$F$271,0)</f>
        <v>0</v>
      </c>
      <c r="G289" s="1217"/>
      <c r="H289" s="1217"/>
      <c r="I289" s="1217"/>
      <c r="J289" s="1217"/>
      <c r="K289" s="1233">
        <f>ROUND($B289*$K$20,0)</f>
        <v>0</v>
      </c>
      <c r="L289" s="1220"/>
      <c r="M289" s="1216"/>
      <c r="N289" s="1217"/>
      <c r="O289" s="1221">
        <v>29</v>
      </c>
      <c r="P289" s="1233">
        <f t="shared" si="3317" ref="P289:AE304">$F$232</f>
        <v>0</v>
      </c>
      <c r="Q289" s="1233">
        <f t="shared" si="3287"/>
        <v>0</v>
      </c>
      <c r="R289" s="1233">
        <f t="shared" si="3258"/>
        <v>0</v>
      </c>
      <c r="S289" s="1233">
        <f t="shared" si="3230"/>
        <v>0</v>
      </c>
      <c r="T289" s="1233">
        <f t="shared" si="3203"/>
        <v>0</v>
      </c>
      <c r="U289" s="1233">
        <f t="shared" si="3177"/>
        <v>0</v>
      </c>
      <c r="V289" s="1233">
        <f t="shared" si="3152"/>
        <v>0</v>
      </c>
      <c r="W289" s="1233">
        <f t="shared" si="3128"/>
        <v>0</v>
      </c>
      <c r="X289" s="1233">
        <f t="shared" si="3105"/>
        <v>0</v>
      </c>
      <c r="Y289" s="1233">
        <f t="shared" si="3083"/>
        <v>0</v>
      </c>
      <c r="Z289" s="1233">
        <f t="shared" si="3062"/>
        <v>0</v>
      </c>
      <c r="AA289" s="1233">
        <f t="shared" si="3042"/>
        <v>0</v>
      </c>
      <c r="AB289" s="1233">
        <f t="shared" si="3023"/>
        <v>0</v>
      </c>
      <c r="AC289" s="1233">
        <f t="shared" si="3008"/>
        <v>0</v>
      </c>
      <c r="AD289" s="1233">
        <f t="shared" si="2994"/>
        <v>0</v>
      </c>
      <c r="AE289" s="1233">
        <f t="shared" si="2981"/>
        <v>0</v>
      </c>
      <c r="AF289" s="1233">
        <f t="shared" si="3333" ref="AF289:AU304">$F$216</f>
        <v>0</v>
      </c>
      <c r="AG289" s="1233">
        <f t="shared" si="3303"/>
        <v>0</v>
      </c>
      <c r="AH289" s="1233">
        <f t="shared" si="3274"/>
        <v>0</v>
      </c>
      <c r="AI289" s="1233">
        <f t="shared" si="3246"/>
        <v>0</v>
      </c>
      <c r="AJ289" s="1233">
        <f t="shared" si="3219"/>
        <v>0</v>
      </c>
      <c r="AK289" s="1233">
        <f t="shared" si="3193"/>
        <v>0</v>
      </c>
      <c r="AL289" s="1233">
        <f t="shared" si="3168"/>
        <v>0</v>
      </c>
      <c r="AM289" s="1233">
        <f t="shared" si="3144"/>
        <v>0</v>
      </c>
      <c r="AN289" s="1233">
        <f t="shared" si="3121"/>
        <v>0</v>
      </c>
      <c r="AO289" s="1233">
        <f t="shared" si="3099"/>
        <v>0</v>
      </c>
      <c r="AP289" s="1233">
        <f t="shared" si="3078"/>
        <v>0</v>
      </c>
      <c r="AQ289" s="1233">
        <f t="shared" si="3058"/>
        <v>0</v>
      </c>
      <c r="AR289" s="1221">
        <v>0</v>
      </c>
      <c r="AS289" s="1221">
        <v>0</v>
      </c>
      <c r="AT289" s="1221">
        <v>0</v>
      </c>
      <c r="AU289" s="1221">
        <v>0</v>
      </c>
      <c r="AV289" s="1221">
        <v>0</v>
      </c>
      <c r="AW289" s="1221">
        <v>0</v>
      </c>
      <c r="AX289" s="1221">
        <v>0</v>
      </c>
      <c r="AY289" s="1221">
        <v>0</v>
      </c>
      <c r="AZ289" s="1221">
        <v>0</v>
      </c>
      <c r="BA289" s="1221">
        <v>0</v>
      </c>
      <c r="BB289" s="1221">
        <v>0</v>
      </c>
      <c r="BC289" s="1221">
        <v>0</v>
      </c>
      <c r="BD289" s="1221">
        <v>0</v>
      </c>
      <c r="BE289" s="1221">
        <v>0</v>
      </c>
      <c r="BF289" s="1221">
        <v>0</v>
      </c>
      <c r="BG289" s="1221">
        <v>0</v>
      </c>
      <c r="BH289" s="1221">
        <v>0</v>
      </c>
      <c r="BI289" s="1221">
        <v>0</v>
      </c>
      <c r="BJ289" s="1221">
        <v>0</v>
      </c>
      <c r="BK289" s="1221">
        <v>0</v>
      </c>
      <c r="BL289" s="1221">
        <v>0</v>
      </c>
      <c r="BM289" s="1221">
        <v>0</v>
      </c>
      <c r="BN289" s="1221">
        <v>0</v>
      </c>
      <c r="BO289" s="1221">
        <v>0</v>
      </c>
      <c r="BP289" s="1184"/>
      <c r="BQ289" s="1184"/>
      <c r="BR289" s="1184"/>
      <c r="BS289" s="1184"/>
      <c r="BT289" s="1184"/>
      <c r="BU289" s="1184"/>
      <c r="BV289" s="1184"/>
      <c r="BW289" s="1184"/>
      <c r="BX289" s="1184"/>
      <c r="BY289" s="1184"/>
      <c r="BZ289" s="208"/>
      <c r="CA289" s="208"/>
      <c r="CB289" s="208"/>
      <c r="CC289" s="208"/>
      <c r="CD289" s="211"/>
    </row>
    <row r="290" ht="18" customHeight="1">
      <c r="A290" s="1234">
        <v>13</v>
      </c>
      <c r="B290" s="1236">
        <f>HLOOKUP($F$21,$M$26:$AP$64,14,-1)</f>
        <v>0</v>
      </c>
      <c r="C290" s="1236"/>
      <c r="D290" s="1236"/>
      <c r="E290" s="1217"/>
      <c r="F290" s="1233">
        <f>ROUND($B290*$F$271,0)</f>
        <v>0</v>
      </c>
      <c r="G290" s="1217"/>
      <c r="H290" s="1217"/>
      <c r="I290" s="1217"/>
      <c r="J290" s="1217"/>
      <c r="K290" s="1233">
        <f>ROUND($B290*$K$20,0)</f>
        <v>0</v>
      </c>
      <c r="L290" s="1220"/>
      <c r="M290" s="1216"/>
      <c r="N290" s="1217"/>
      <c r="O290" s="1221">
        <v>30</v>
      </c>
      <c r="P290" s="1233">
        <f t="shared" si="3348" ref="P290:AE305">$F$233</f>
        <v>0</v>
      </c>
      <c r="Q290" s="1233">
        <f t="shared" si="3317"/>
        <v>0</v>
      </c>
      <c r="R290" s="1233">
        <f t="shared" si="3287"/>
        <v>0</v>
      </c>
      <c r="S290" s="1233">
        <f t="shared" si="3258"/>
        <v>0</v>
      </c>
      <c r="T290" s="1233">
        <f t="shared" si="3230"/>
        <v>0</v>
      </c>
      <c r="U290" s="1233">
        <f t="shared" si="3203"/>
        <v>0</v>
      </c>
      <c r="V290" s="1233">
        <f t="shared" si="3177"/>
        <v>0</v>
      </c>
      <c r="W290" s="1233">
        <f t="shared" si="3152"/>
        <v>0</v>
      </c>
      <c r="X290" s="1233">
        <f t="shared" si="3128"/>
        <v>0</v>
      </c>
      <c r="Y290" s="1233">
        <f t="shared" si="3105"/>
        <v>0</v>
      </c>
      <c r="Z290" s="1233">
        <f t="shared" si="3083"/>
        <v>0</v>
      </c>
      <c r="AA290" s="1233">
        <f t="shared" si="3062"/>
        <v>0</v>
      </c>
      <c r="AB290" s="1233">
        <f t="shared" si="3042"/>
        <v>0</v>
      </c>
      <c r="AC290" s="1233">
        <f t="shared" si="3023"/>
        <v>0</v>
      </c>
      <c r="AD290" s="1233">
        <f t="shared" si="3008"/>
        <v>0</v>
      </c>
      <c r="AE290" s="1233">
        <f t="shared" si="2994"/>
        <v>0</v>
      </c>
      <c r="AF290" s="1233">
        <f t="shared" si="3364" ref="AF290:AU305">$F$217</f>
        <v>0</v>
      </c>
      <c r="AG290" s="1233">
        <f t="shared" si="3333"/>
        <v>0</v>
      </c>
      <c r="AH290" s="1233">
        <f t="shared" si="3303"/>
        <v>0</v>
      </c>
      <c r="AI290" s="1233">
        <f t="shared" si="3274"/>
        <v>0</v>
      </c>
      <c r="AJ290" s="1233">
        <f t="shared" si="3246"/>
        <v>0</v>
      </c>
      <c r="AK290" s="1233">
        <f t="shared" si="3219"/>
        <v>0</v>
      </c>
      <c r="AL290" s="1233">
        <f t="shared" si="3193"/>
        <v>0</v>
      </c>
      <c r="AM290" s="1233">
        <f t="shared" si="3168"/>
        <v>0</v>
      </c>
      <c r="AN290" s="1233">
        <f t="shared" si="3144"/>
        <v>0</v>
      </c>
      <c r="AO290" s="1233">
        <f t="shared" si="3121"/>
        <v>0</v>
      </c>
      <c r="AP290" s="1233">
        <f t="shared" si="3099"/>
        <v>0</v>
      </c>
      <c r="AQ290" s="1233">
        <f t="shared" si="3078"/>
        <v>0</v>
      </c>
      <c r="AR290" s="1233">
        <f t="shared" si="3058"/>
        <v>0</v>
      </c>
      <c r="AS290" s="1221">
        <v>0</v>
      </c>
      <c r="AT290" s="1221">
        <v>0</v>
      </c>
      <c r="AU290" s="1221">
        <v>0</v>
      </c>
      <c r="AV290" s="1221">
        <v>0</v>
      </c>
      <c r="AW290" s="1221">
        <v>0</v>
      </c>
      <c r="AX290" s="1221">
        <v>0</v>
      </c>
      <c r="AY290" s="1221">
        <v>0</v>
      </c>
      <c r="AZ290" s="1221">
        <v>0</v>
      </c>
      <c r="BA290" s="1221">
        <v>0</v>
      </c>
      <c r="BB290" s="1221">
        <v>0</v>
      </c>
      <c r="BC290" s="1221">
        <v>0</v>
      </c>
      <c r="BD290" s="1221">
        <v>0</v>
      </c>
      <c r="BE290" s="1221">
        <v>0</v>
      </c>
      <c r="BF290" s="1221">
        <v>0</v>
      </c>
      <c r="BG290" s="1221">
        <v>0</v>
      </c>
      <c r="BH290" s="1221">
        <v>0</v>
      </c>
      <c r="BI290" s="1221">
        <v>0</v>
      </c>
      <c r="BJ290" s="1221">
        <v>0</v>
      </c>
      <c r="BK290" s="1221">
        <v>0</v>
      </c>
      <c r="BL290" s="1221">
        <v>0</v>
      </c>
      <c r="BM290" s="1221">
        <v>0</v>
      </c>
      <c r="BN290" s="1221">
        <v>0</v>
      </c>
      <c r="BO290" s="1221">
        <v>0</v>
      </c>
      <c r="BP290" s="1184"/>
      <c r="BQ290" s="1184"/>
      <c r="BR290" s="1184"/>
      <c r="BS290" s="1184"/>
      <c r="BT290" s="1184"/>
      <c r="BU290" s="1184"/>
      <c r="BV290" s="1184"/>
      <c r="BW290" s="1184"/>
      <c r="BX290" s="1184"/>
      <c r="BY290" s="1184"/>
      <c r="BZ290" s="208"/>
      <c r="CA290" s="208"/>
      <c r="CB290" s="208"/>
      <c r="CC290" s="208"/>
      <c r="CD290" s="211"/>
    </row>
    <row r="291" ht="18" customHeight="1">
      <c r="A291" s="1234">
        <v>14</v>
      </c>
      <c r="B291" s="1236">
        <f>HLOOKUP($F$21,$M$26:$AP$64,15,-1)</f>
        <v>0</v>
      </c>
      <c r="C291" s="1217"/>
      <c r="D291" s="1217"/>
      <c r="E291" s="1217"/>
      <c r="F291" s="1233">
        <f>ROUND($B291*$F$271,0)</f>
        <v>0</v>
      </c>
      <c r="G291" s="1217"/>
      <c r="H291" s="1217"/>
      <c r="I291" s="1217"/>
      <c r="J291" s="1217"/>
      <c r="K291" s="1233">
        <f>ROUND($B291*$K$20,0)</f>
        <v>0</v>
      </c>
      <c r="L291" s="1220"/>
      <c r="M291" s="1216"/>
      <c r="N291" s="1217"/>
      <c r="O291" s="1221">
        <v>31</v>
      </c>
      <c r="P291" s="1233">
        <v>0</v>
      </c>
      <c r="Q291" s="1233">
        <f t="shared" si="3348"/>
        <v>0</v>
      </c>
      <c r="R291" s="1233">
        <f t="shared" si="3317"/>
        <v>0</v>
      </c>
      <c r="S291" s="1233">
        <f t="shared" si="3287"/>
        <v>0</v>
      </c>
      <c r="T291" s="1233">
        <f t="shared" si="3258"/>
        <v>0</v>
      </c>
      <c r="U291" s="1233">
        <f t="shared" si="3230"/>
        <v>0</v>
      </c>
      <c r="V291" s="1233">
        <f t="shared" si="3203"/>
        <v>0</v>
      </c>
      <c r="W291" s="1233">
        <f t="shared" si="3177"/>
        <v>0</v>
      </c>
      <c r="X291" s="1233">
        <f t="shared" si="3152"/>
        <v>0</v>
      </c>
      <c r="Y291" s="1233">
        <f t="shared" si="3128"/>
        <v>0</v>
      </c>
      <c r="Z291" s="1233">
        <f t="shared" si="3105"/>
        <v>0</v>
      </c>
      <c r="AA291" s="1233">
        <f t="shared" si="3083"/>
        <v>0</v>
      </c>
      <c r="AB291" s="1233">
        <f t="shared" si="3062"/>
        <v>0</v>
      </c>
      <c r="AC291" s="1233">
        <f t="shared" si="3042"/>
        <v>0</v>
      </c>
      <c r="AD291" s="1233">
        <f t="shared" si="3023"/>
        <v>0</v>
      </c>
      <c r="AE291" s="1233">
        <f t="shared" si="3008"/>
        <v>0</v>
      </c>
      <c r="AF291" s="1233">
        <f t="shared" si="3395" ref="AF291:AU306">$F$218</f>
        <v>0</v>
      </c>
      <c r="AG291" s="1233">
        <f t="shared" si="3364"/>
        <v>0</v>
      </c>
      <c r="AH291" s="1233">
        <f t="shared" si="3333"/>
        <v>0</v>
      </c>
      <c r="AI291" s="1233">
        <f t="shared" si="3303"/>
        <v>0</v>
      </c>
      <c r="AJ291" s="1233">
        <f t="shared" si="3274"/>
        <v>0</v>
      </c>
      <c r="AK291" s="1233">
        <f t="shared" si="3246"/>
        <v>0</v>
      </c>
      <c r="AL291" s="1233">
        <f t="shared" si="3219"/>
        <v>0</v>
      </c>
      <c r="AM291" s="1233">
        <f t="shared" si="3193"/>
        <v>0</v>
      </c>
      <c r="AN291" s="1233">
        <f t="shared" si="3168"/>
        <v>0</v>
      </c>
      <c r="AO291" s="1233">
        <f t="shared" si="3144"/>
        <v>0</v>
      </c>
      <c r="AP291" s="1233">
        <f t="shared" si="3121"/>
        <v>0</v>
      </c>
      <c r="AQ291" s="1233">
        <f t="shared" si="3099"/>
        <v>0</v>
      </c>
      <c r="AR291" s="1233">
        <f t="shared" si="3078"/>
        <v>0</v>
      </c>
      <c r="AS291" s="1233">
        <f t="shared" si="3058"/>
        <v>0</v>
      </c>
      <c r="AT291" s="1221">
        <v>0</v>
      </c>
      <c r="AU291" s="1221">
        <v>0</v>
      </c>
      <c r="AV291" s="1221">
        <v>0</v>
      </c>
      <c r="AW291" s="1221">
        <v>0</v>
      </c>
      <c r="AX291" s="1221">
        <v>0</v>
      </c>
      <c r="AY291" s="1221">
        <v>0</v>
      </c>
      <c r="AZ291" s="1221">
        <v>0</v>
      </c>
      <c r="BA291" s="1221">
        <v>0</v>
      </c>
      <c r="BB291" s="1221">
        <v>0</v>
      </c>
      <c r="BC291" s="1221">
        <v>0</v>
      </c>
      <c r="BD291" s="1221">
        <v>0</v>
      </c>
      <c r="BE291" s="1221">
        <v>0</v>
      </c>
      <c r="BF291" s="1221">
        <v>0</v>
      </c>
      <c r="BG291" s="1221">
        <v>0</v>
      </c>
      <c r="BH291" s="1221">
        <v>0</v>
      </c>
      <c r="BI291" s="1221">
        <v>0</v>
      </c>
      <c r="BJ291" s="1221">
        <v>0</v>
      </c>
      <c r="BK291" s="1221">
        <v>0</v>
      </c>
      <c r="BL291" s="1221">
        <v>0</v>
      </c>
      <c r="BM291" s="1221">
        <v>0</v>
      </c>
      <c r="BN291" s="1221">
        <v>0</v>
      </c>
      <c r="BO291" s="1221">
        <v>0</v>
      </c>
      <c r="BP291" s="1184"/>
      <c r="BQ291" s="1184"/>
      <c r="BR291" s="1184"/>
      <c r="BS291" s="1184"/>
      <c r="BT291" s="1184"/>
      <c r="BU291" s="1184"/>
      <c r="BV291" s="1184"/>
      <c r="BW291" s="1184"/>
      <c r="BX291" s="1184"/>
      <c r="BY291" s="1184"/>
      <c r="BZ291" s="208"/>
      <c r="CA291" s="208"/>
      <c r="CB291" s="208"/>
      <c r="CC291" s="208"/>
      <c r="CD291" s="211"/>
    </row>
    <row r="292" ht="18" customHeight="1">
      <c r="A292" s="1234">
        <v>15</v>
      </c>
      <c r="B292" s="1236">
        <f>HLOOKUP($F$21,$M$26:$AP$64,16,-1)</f>
        <v>0</v>
      </c>
      <c r="C292" s="1217"/>
      <c r="D292" s="1217"/>
      <c r="E292" s="1217"/>
      <c r="F292" s="1233">
        <f>ROUND($B292*$F$271,0)</f>
        <v>0</v>
      </c>
      <c r="G292" s="1217"/>
      <c r="H292" s="1217"/>
      <c r="I292" s="1217"/>
      <c r="J292" s="1217"/>
      <c r="K292" s="1233">
        <f>ROUND($B292*$K$20,0)</f>
        <v>0</v>
      </c>
      <c r="L292" s="1220"/>
      <c r="M292" s="1216"/>
      <c r="N292" s="1217"/>
      <c r="O292" s="1221">
        <v>32</v>
      </c>
      <c r="P292" s="1233">
        <v>0</v>
      </c>
      <c r="Q292" s="1233">
        <f>$F$56</f>
        <v>0</v>
      </c>
      <c r="R292" s="1233">
        <f t="shared" si="3348"/>
        <v>0</v>
      </c>
      <c r="S292" s="1233">
        <f t="shared" si="3317"/>
        <v>0</v>
      </c>
      <c r="T292" s="1233">
        <f t="shared" si="3287"/>
        <v>0</v>
      </c>
      <c r="U292" s="1233">
        <f t="shared" si="3258"/>
        <v>0</v>
      </c>
      <c r="V292" s="1233">
        <f t="shared" si="3230"/>
        <v>0</v>
      </c>
      <c r="W292" s="1233">
        <f t="shared" si="3203"/>
        <v>0</v>
      </c>
      <c r="X292" s="1233">
        <f t="shared" si="3177"/>
        <v>0</v>
      </c>
      <c r="Y292" s="1233">
        <f t="shared" si="3152"/>
        <v>0</v>
      </c>
      <c r="Z292" s="1233">
        <f t="shared" si="3128"/>
        <v>0</v>
      </c>
      <c r="AA292" s="1233">
        <f t="shared" si="3105"/>
        <v>0</v>
      </c>
      <c r="AB292" s="1233">
        <f t="shared" si="3083"/>
        <v>0</v>
      </c>
      <c r="AC292" s="1233">
        <f t="shared" si="3062"/>
        <v>0</v>
      </c>
      <c r="AD292" s="1233">
        <f t="shared" si="3042"/>
        <v>0</v>
      </c>
      <c r="AE292" s="1233">
        <f t="shared" si="3023"/>
        <v>0</v>
      </c>
      <c r="AF292" s="1233">
        <f t="shared" si="3427" ref="AF292:AU307">$F$219</f>
        <v>0</v>
      </c>
      <c r="AG292" s="1233">
        <f t="shared" si="3395"/>
        <v>0</v>
      </c>
      <c r="AH292" s="1233">
        <f t="shared" si="3364"/>
        <v>0</v>
      </c>
      <c r="AI292" s="1233">
        <f t="shared" si="3333"/>
        <v>0</v>
      </c>
      <c r="AJ292" s="1233">
        <f t="shared" si="3303"/>
        <v>0</v>
      </c>
      <c r="AK292" s="1233">
        <f t="shared" si="3274"/>
        <v>0</v>
      </c>
      <c r="AL292" s="1233">
        <f t="shared" si="3246"/>
        <v>0</v>
      </c>
      <c r="AM292" s="1233">
        <f t="shared" si="3219"/>
        <v>0</v>
      </c>
      <c r="AN292" s="1233">
        <f t="shared" si="3193"/>
        <v>0</v>
      </c>
      <c r="AO292" s="1233">
        <f t="shared" si="3168"/>
        <v>0</v>
      </c>
      <c r="AP292" s="1233">
        <f t="shared" si="3144"/>
        <v>0</v>
      </c>
      <c r="AQ292" s="1233">
        <f t="shared" si="3121"/>
        <v>0</v>
      </c>
      <c r="AR292" s="1233">
        <f t="shared" si="3099"/>
        <v>0</v>
      </c>
      <c r="AS292" s="1233">
        <f t="shared" si="3078"/>
        <v>0</v>
      </c>
      <c r="AT292" s="1233">
        <f t="shared" si="3058"/>
        <v>0</v>
      </c>
      <c r="AU292" s="1221">
        <v>0</v>
      </c>
      <c r="AV292" s="1221">
        <v>0</v>
      </c>
      <c r="AW292" s="1221">
        <v>0</v>
      </c>
      <c r="AX292" s="1233">
        <v>0</v>
      </c>
      <c r="AY292" s="1221">
        <v>0</v>
      </c>
      <c r="AZ292" s="1221">
        <v>0</v>
      </c>
      <c r="BA292" s="1221">
        <v>0</v>
      </c>
      <c r="BB292" s="1221">
        <v>0</v>
      </c>
      <c r="BC292" s="1221">
        <v>0</v>
      </c>
      <c r="BD292" s="1221">
        <v>0</v>
      </c>
      <c r="BE292" s="1221">
        <v>0</v>
      </c>
      <c r="BF292" s="1221">
        <v>0</v>
      </c>
      <c r="BG292" s="1221">
        <v>0</v>
      </c>
      <c r="BH292" s="1221">
        <v>0</v>
      </c>
      <c r="BI292" s="1221">
        <v>0</v>
      </c>
      <c r="BJ292" s="1221">
        <v>0</v>
      </c>
      <c r="BK292" s="1221">
        <v>0</v>
      </c>
      <c r="BL292" s="1221">
        <v>0</v>
      </c>
      <c r="BM292" s="1221">
        <v>0</v>
      </c>
      <c r="BN292" s="1221">
        <v>0</v>
      </c>
      <c r="BO292" s="1221">
        <v>0</v>
      </c>
      <c r="BP292" s="1184"/>
      <c r="BQ292" s="1184"/>
      <c r="BR292" s="1184"/>
      <c r="BS292" s="1184"/>
      <c r="BT292" s="1184"/>
      <c r="BU292" s="1184"/>
      <c r="BV292" s="1184"/>
      <c r="BW292" s="1184"/>
      <c r="BX292" s="1184"/>
      <c r="BY292" s="1184"/>
      <c r="BZ292" s="208"/>
      <c r="CA292" s="208"/>
      <c r="CB292" s="208"/>
      <c r="CC292" s="208"/>
      <c r="CD292" s="211"/>
    </row>
    <row r="293" ht="18" customHeight="1">
      <c r="A293" s="1234">
        <v>16</v>
      </c>
      <c r="B293" s="1236">
        <f>HLOOKUP($F$21,$M$26:$AP$64,17,-1)</f>
        <v>0</v>
      </c>
      <c r="C293" s="1217"/>
      <c r="D293" s="1217"/>
      <c r="E293" s="1217"/>
      <c r="F293" s="1233">
        <f>ROUND($B293*$F$271,0)</f>
        <v>0</v>
      </c>
      <c r="G293" s="1217"/>
      <c r="H293" s="1217"/>
      <c r="I293" s="1217"/>
      <c r="J293" s="1217"/>
      <c r="K293" s="1233">
        <f>ROUND($B293*$K$20,0)</f>
        <v>0</v>
      </c>
      <c r="L293" s="1220"/>
      <c r="M293" s="1216"/>
      <c r="N293" s="1217"/>
      <c r="O293" s="1221">
        <v>33</v>
      </c>
      <c r="P293" s="1233">
        <v>0</v>
      </c>
      <c r="Q293" s="1233">
        <v>0</v>
      </c>
      <c r="R293" s="1233">
        <f>$F$56</f>
        <v>0</v>
      </c>
      <c r="S293" s="1233">
        <f t="shared" si="3348"/>
        <v>0</v>
      </c>
      <c r="T293" s="1233">
        <f t="shared" si="3317"/>
        <v>0</v>
      </c>
      <c r="U293" s="1233">
        <f t="shared" si="3287"/>
        <v>0</v>
      </c>
      <c r="V293" s="1233">
        <f t="shared" si="3258"/>
        <v>0</v>
      </c>
      <c r="W293" s="1233">
        <f t="shared" si="3230"/>
        <v>0</v>
      </c>
      <c r="X293" s="1233">
        <f t="shared" si="3203"/>
        <v>0</v>
      </c>
      <c r="Y293" s="1233">
        <f t="shared" si="3177"/>
        <v>0</v>
      </c>
      <c r="Z293" s="1233">
        <f t="shared" si="3152"/>
        <v>0</v>
      </c>
      <c r="AA293" s="1233">
        <f t="shared" si="3128"/>
        <v>0</v>
      </c>
      <c r="AB293" s="1233">
        <f t="shared" si="3105"/>
        <v>0</v>
      </c>
      <c r="AC293" s="1233">
        <f t="shared" si="3083"/>
        <v>0</v>
      </c>
      <c r="AD293" s="1233">
        <f t="shared" si="3062"/>
        <v>0</v>
      </c>
      <c r="AE293" s="1233">
        <f t="shared" si="3042"/>
        <v>0</v>
      </c>
      <c r="AF293" s="1233">
        <f t="shared" si="3459" ref="AF293:AU308">$F$220</f>
        <v>0</v>
      </c>
      <c r="AG293" s="1233">
        <f t="shared" si="3427"/>
        <v>0</v>
      </c>
      <c r="AH293" s="1233">
        <f t="shared" si="3395"/>
        <v>0</v>
      </c>
      <c r="AI293" s="1233">
        <f t="shared" si="3364"/>
        <v>0</v>
      </c>
      <c r="AJ293" s="1233">
        <f t="shared" si="3333"/>
        <v>0</v>
      </c>
      <c r="AK293" s="1233">
        <f t="shared" si="3303"/>
        <v>0</v>
      </c>
      <c r="AL293" s="1233">
        <f t="shared" si="3274"/>
        <v>0</v>
      </c>
      <c r="AM293" s="1233">
        <f t="shared" si="3246"/>
        <v>0</v>
      </c>
      <c r="AN293" s="1233">
        <f t="shared" si="3219"/>
        <v>0</v>
      </c>
      <c r="AO293" s="1233">
        <f t="shared" si="3193"/>
        <v>0</v>
      </c>
      <c r="AP293" s="1233">
        <f t="shared" si="3168"/>
        <v>0</v>
      </c>
      <c r="AQ293" s="1233">
        <f t="shared" si="3144"/>
        <v>0</v>
      </c>
      <c r="AR293" s="1233">
        <f t="shared" si="3121"/>
        <v>0</v>
      </c>
      <c r="AS293" s="1233">
        <f t="shared" si="3099"/>
        <v>0</v>
      </c>
      <c r="AT293" s="1233">
        <f t="shared" si="3078"/>
        <v>0</v>
      </c>
      <c r="AU293" s="1233">
        <f t="shared" si="3058"/>
        <v>0</v>
      </c>
      <c r="AV293" s="1221">
        <v>0</v>
      </c>
      <c r="AW293" s="1221">
        <v>0</v>
      </c>
      <c r="AX293" s="1233">
        <v>0</v>
      </c>
      <c r="AY293" s="1233">
        <v>0</v>
      </c>
      <c r="AZ293" s="1221">
        <v>0</v>
      </c>
      <c r="BA293" s="1221">
        <v>0</v>
      </c>
      <c r="BB293" s="1221">
        <v>0</v>
      </c>
      <c r="BC293" s="1221">
        <v>0</v>
      </c>
      <c r="BD293" s="1221">
        <v>0</v>
      </c>
      <c r="BE293" s="1221">
        <v>0</v>
      </c>
      <c r="BF293" s="1221">
        <v>0</v>
      </c>
      <c r="BG293" s="1221">
        <v>0</v>
      </c>
      <c r="BH293" s="1221">
        <v>0</v>
      </c>
      <c r="BI293" s="1221">
        <v>0</v>
      </c>
      <c r="BJ293" s="1221">
        <v>0</v>
      </c>
      <c r="BK293" s="1221">
        <v>0</v>
      </c>
      <c r="BL293" s="1221">
        <v>0</v>
      </c>
      <c r="BM293" s="1221">
        <v>0</v>
      </c>
      <c r="BN293" s="1221">
        <v>0</v>
      </c>
      <c r="BO293" s="1221">
        <v>0</v>
      </c>
      <c r="BP293" s="1184"/>
      <c r="BQ293" s="1184"/>
      <c r="BR293" s="1184"/>
      <c r="BS293" s="1184"/>
      <c r="BT293" s="1184"/>
      <c r="BU293" s="1184"/>
      <c r="BV293" s="1184"/>
      <c r="BW293" s="1184"/>
      <c r="BX293" s="1184"/>
      <c r="BY293" s="1184"/>
      <c r="BZ293" s="208"/>
      <c r="CA293" s="208"/>
      <c r="CB293" s="208"/>
      <c r="CC293" s="208"/>
      <c r="CD293" s="211"/>
    </row>
    <row r="294" ht="18" customHeight="1">
      <c r="A294" s="1234">
        <v>17</v>
      </c>
      <c r="B294" s="1236">
        <f>HLOOKUP($F$21,$M$26:$AP$64,18,-1)</f>
        <v>0</v>
      </c>
      <c r="C294" s="1217"/>
      <c r="D294" s="1217"/>
      <c r="E294" s="1217"/>
      <c r="F294" s="1233">
        <f>ROUND($B294*$F$271,0)</f>
        <v>0</v>
      </c>
      <c r="G294" s="1217"/>
      <c r="H294" s="1217"/>
      <c r="I294" s="1217"/>
      <c r="J294" s="1217"/>
      <c r="K294" s="1233">
        <f>ROUND($B294*$K$20,0)</f>
        <v>0</v>
      </c>
      <c r="L294" s="1220"/>
      <c r="M294" s="1216"/>
      <c r="N294" s="1217"/>
      <c r="O294" s="1221">
        <v>34</v>
      </c>
      <c r="P294" s="1233">
        <v>0</v>
      </c>
      <c r="Q294" s="1233">
        <v>0</v>
      </c>
      <c r="R294" s="1233">
        <v>0</v>
      </c>
      <c r="S294" s="1233">
        <f>$F$56</f>
        <v>0</v>
      </c>
      <c r="T294" s="1233">
        <f t="shared" si="3348"/>
        <v>0</v>
      </c>
      <c r="U294" s="1233">
        <f t="shared" si="3317"/>
        <v>0</v>
      </c>
      <c r="V294" s="1233">
        <f t="shared" si="3287"/>
        <v>0</v>
      </c>
      <c r="W294" s="1233">
        <f t="shared" si="3258"/>
        <v>0</v>
      </c>
      <c r="X294" s="1233">
        <f t="shared" si="3230"/>
        <v>0</v>
      </c>
      <c r="Y294" s="1233">
        <f t="shared" si="3203"/>
        <v>0</v>
      </c>
      <c r="Z294" s="1233">
        <f t="shared" si="3177"/>
        <v>0</v>
      </c>
      <c r="AA294" s="1233">
        <f t="shared" si="3152"/>
        <v>0</v>
      </c>
      <c r="AB294" s="1233">
        <f t="shared" si="3128"/>
        <v>0</v>
      </c>
      <c r="AC294" s="1233">
        <f t="shared" si="3105"/>
        <v>0</v>
      </c>
      <c r="AD294" s="1233">
        <f t="shared" si="3083"/>
        <v>0</v>
      </c>
      <c r="AE294" s="1233">
        <f t="shared" si="3062"/>
        <v>0</v>
      </c>
      <c r="AF294" s="1233">
        <f t="shared" si="3491" ref="AF294:AU309">$F$221</f>
        <v>0</v>
      </c>
      <c r="AG294" s="1233">
        <f t="shared" si="3459"/>
        <v>0</v>
      </c>
      <c r="AH294" s="1233">
        <f t="shared" si="3427"/>
        <v>0</v>
      </c>
      <c r="AI294" s="1233">
        <f t="shared" si="3395"/>
        <v>0</v>
      </c>
      <c r="AJ294" s="1233">
        <f t="shared" si="3364"/>
        <v>0</v>
      </c>
      <c r="AK294" s="1233">
        <f t="shared" si="3333"/>
        <v>0</v>
      </c>
      <c r="AL294" s="1233">
        <f t="shared" si="3303"/>
        <v>0</v>
      </c>
      <c r="AM294" s="1233">
        <f t="shared" si="3274"/>
        <v>0</v>
      </c>
      <c r="AN294" s="1233">
        <f t="shared" si="3246"/>
        <v>0</v>
      </c>
      <c r="AO294" s="1233">
        <f t="shared" si="3219"/>
        <v>0</v>
      </c>
      <c r="AP294" s="1233">
        <f t="shared" si="3193"/>
        <v>0</v>
      </c>
      <c r="AQ294" s="1233">
        <f t="shared" si="3168"/>
        <v>0</v>
      </c>
      <c r="AR294" s="1233">
        <f t="shared" si="3144"/>
        <v>0</v>
      </c>
      <c r="AS294" s="1233">
        <f t="shared" si="3121"/>
        <v>0</v>
      </c>
      <c r="AT294" s="1233">
        <f t="shared" si="3099"/>
        <v>0</v>
      </c>
      <c r="AU294" s="1233">
        <f t="shared" si="3078"/>
        <v>0</v>
      </c>
      <c r="AV294" s="1233">
        <f t="shared" si="3507" ref="AV294:BK309">$F$205</f>
        <v>0</v>
      </c>
      <c r="AW294" s="1221">
        <v>0</v>
      </c>
      <c r="AX294" s="1233">
        <v>0</v>
      </c>
      <c r="AY294" s="1233">
        <v>0</v>
      </c>
      <c r="AZ294" s="1233">
        <v>0</v>
      </c>
      <c r="BA294" s="1221">
        <v>0</v>
      </c>
      <c r="BB294" s="1221">
        <v>0</v>
      </c>
      <c r="BC294" s="1221">
        <v>0</v>
      </c>
      <c r="BD294" s="1221">
        <v>0</v>
      </c>
      <c r="BE294" s="1221">
        <v>0</v>
      </c>
      <c r="BF294" s="1221">
        <v>0</v>
      </c>
      <c r="BG294" s="1221">
        <v>0</v>
      </c>
      <c r="BH294" s="1221">
        <v>0</v>
      </c>
      <c r="BI294" s="1221">
        <v>0</v>
      </c>
      <c r="BJ294" s="1221">
        <v>0</v>
      </c>
      <c r="BK294" s="1221">
        <v>0</v>
      </c>
      <c r="BL294" s="1221">
        <v>0</v>
      </c>
      <c r="BM294" s="1221">
        <v>0</v>
      </c>
      <c r="BN294" s="1221">
        <v>0</v>
      </c>
      <c r="BO294" s="1221">
        <v>0</v>
      </c>
      <c r="BP294" s="1184"/>
      <c r="BQ294" s="1184"/>
      <c r="BR294" s="1184"/>
      <c r="BS294" s="1184"/>
      <c r="BT294" s="1184"/>
      <c r="BU294" s="1184"/>
      <c r="BV294" s="1184"/>
      <c r="BW294" s="1184"/>
      <c r="BX294" s="1184"/>
      <c r="BY294" s="1184"/>
      <c r="BZ294" s="208"/>
      <c r="CA294" s="208"/>
      <c r="CB294" s="208"/>
      <c r="CC294" s="208"/>
      <c r="CD294" s="211"/>
    </row>
    <row r="295" ht="18" customHeight="1">
      <c r="A295" s="1234">
        <v>18</v>
      </c>
      <c r="B295" s="1236">
        <f>HLOOKUP($F$21,$M$26:$AP$64,19,-1)</f>
        <v>0</v>
      </c>
      <c r="C295" s="1217"/>
      <c r="D295" s="1217"/>
      <c r="E295" s="1217"/>
      <c r="F295" s="1233">
        <f>ROUND($B295*$F$271,0)</f>
        <v>0</v>
      </c>
      <c r="G295" s="1217"/>
      <c r="H295" s="1217"/>
      <c r="I295" s="1217"/>
      <c r="J295" s="1217"/>
      <c r="K295" s="1233">
        <f>ROUND($B295*$K$20,0)</f>
        <v>0</v>
      </c>
      <c r="L295" s="1220"/>
      <c r="M295" s="1216"/>
      <c r="N295" s="1217"/>
      <c r="O295" s="1221">
        <v>35</v>
      </c>
      <c r="P295" s="1233">
        <v>0</v>
      </c>
      <c r="Q295" s="1233">
        <v>0</v>
      </c>
      <c r="R295" s="1233">
        <v>0</v>
      </c>
      <c r="S295" s="1233">
        <v>0</v>
      </c>
      <c r="T295" s="1233">
        <f>$F$56</f>
        <v>0</v>
      </c>
      <c r="U295" s="1233">
        <f t="shared" si="3348"/>
        <v>0</v>
      </c>
      <c r="V295" s="1233">
        <f t="shared" si="3317"/>
        <v>0</v>
      </c>
      <c r="W295" s="1233">
        <f t="shared" si="3287"/>
        <v>0</v>
      </c>
      <c r="X295" s="1233">
        <f t="shared" si="3258"/>
        <v>0</v>
      </c>
      <c r="Y295" s="1233">
        <f t="shared" si="3230"/>
        <v>0</v>
      </c>
      <c r="Z295" s="1233">
        <f t="shared" si="3203"/>
        <v>0</v>
      </c>
      <c r="AA295" s="1233">
        <f t="shared" si="3177"/>
        <v>0</v>
      </c>
      <c r="AB295" s="1233">
        <f t="shared" si="3152"/>
        <v>0</v>
      </c>
      <c r="AC295" s="1233">
        <f t="shared" si="3128"/>
        <v>0</v>
      </c>
      <c r="AD295" s="1233">
        <f t="shared" si="3105"/>
        <v>0</v>
      </c>
      <c r="AE295" s="1233">
        <f t="shared" si="3083"/>
        <v>0</v>
      </c>
      <c r="AF295" s="1233">
        <f t="shared" si="3523" ref="AF295:AU310">$F$222</f>
        <v>0</v>
      </c>
      <c r="AG295" s="1233">
        <f t="shared" si="3491"/>
        <v>0</v>
      </c>
      <c r="AH295" s="1233">
        <f t="shared" si="3459"/>
        <v>0</v>
      </c>
      <c r="AI295" s="1233">
        <f t="shared" si="3427"/>
        <v>0</v>
      </c>
      <c r="AJ295" s="1233">
        <f t="shared" si="3395"/>
        <v>0</v>
      </c>
      <c r="AK295" s="1233">
        <f t="shared" si="3364"/>
        <v>0</v>
      </c>
      <c r="AL295" s="1233">
        <f t="shared" si="3333"/>
        <v>0</v>
      </c>
      <c r="AM295" s="1233">
        <f t="shared" si="3303"/>
        <v>0</v>
      </c>
      <c r="AN295" s="1233">
        <f t="shared" si="3274"/>
        <v>0</v>
      </c>
      <c r="AO295" s="1233">
        <f t="shared" si="3246"/>
        <v>0</v>
      </c>
      <c r="AP295" s="1233">
        <f t="shared" si="3219"/>
        <v>0</v>
      </c>
      <c r="AQ295" s="1233">
        <f t="shared" si="3193"/>
        <v>0</v>
      </c>
      <c r="AR295" s="1233">
        <f t="shared" si="3168"/>
        <v>0</v>
      </c>
      <c r="AS295" s="1233">
        <f t="shared" si="3144"/>
        <v>0</v>
      </c>
      <c r="AT295" s="1233">
        <f t="shared" si="3121"/>
        <v>0</v>
      </c>
      <c r="AU295" s="1233">
        <f t="shared" si="3099"/>
        <v>0</v>
      </c>
      <c r="AV295" s="1233">
        <f t="shared" si="3539" ref="AV295:BK310">$F$206</f>
        <v>0</v>
      </c>
      <c r="AW295" s="1233">
        <f t="shared" si="3507"/>
        <v>0</v>
      </c>
      <c r="AX295" s="1233">
        <v>0</v>
      </c>
      <c r="AY295" s="1233">
        <v>0</v>
      </c>
      <c r="AZ295" s="1233">
        <v>0</v>
      </c>
      <c r="BA295" s="1221">
        <v>0</v>
      </c>
      <c r="BB295" s="1221">
        <v>0</v>
      </c>
      <c r="BC295" s="1221">
        <v>0</v>
      </c>
      <c r="BD295" s="1221">
        <v>0</v>
      </c>
      <c r="BE295" s="1221">
        <v>0</v>
      </c>
      <c r="BF295" s="1221">
        <v>0</v>
      </c>
      <c r="BG295" s="1221">
        <v>0</v>
      </c>
      <c r="BH295" s="1221">
        <v>0</v>
      </c>
      <c r="BI295" s="1221">
        <v>0</v>
      </c>
      <c r="BJ295" s="1221">
        <v>0</v>
      </c>
      <c r="BK295" s="1221">
        <v>0</v>
      </c>
      <c r="BL295" s="1221">
        <v>0</v>
      </c>
      <c r="BM295" s="1221">
        <v>0</v>
      </c>
      <c r="BN295" s="1221">
        <v>0</v>
      </c>
      <c r="BO295" s="1221">
        <v>0</v>
      </c>
      <c r="BP295" s="1217"/>
      <c r="BQ295" s="1184"/>
      <c r="BR295" s="1184"/>
      <c r="BS295" s="1184"/>
      <c r="BT295" s="1184"/>
      <c r="BU295" s="1184"/>
      <c r="BV295" s="1184"/>
      <c r="BW295" s="1184"/>
      <c r="BX295" s="1184"/>
      <c r="BY295" s="1184"/>
      <c r="BZ295" s="208"/>
      <c r="CA295" s="208"/>
      <c r="CB295" s="208"/>
      <c r="CC295" s="208"/>
      <c r="CD295" s="211"/>
    </row>
    <row r="296" ht="18" customHeight="1">
      <c r="A296" s="1234">
        <v>19</v>
      </c>
      <c r="B296" s="1236">
        <f>HLOOKUP($F$21,$M$26:$AP$64,20,-1)</f>
        <v>0</v>
      </c>
      <c r="C296" s="1217"/>
      <c r="D296" s="1217"/>
      <c r="E296" s="1217"/>
      <c r="F296" s="1233">
        <f>ROUND($B296*$F$271,0)</f>
        <v>0</v>
      </c>
      <c r="G296" s="1217"/>
      <c r="H296" s="1217"/>
      <c r="I296" s="1217"/>
      <c r="J296" s="1217"/>
      <c r="K296" s="1233">
        <f>ROUND($B296*$K$20,0)</f>
        <v>0</v>
      </c>
      <c r="L296" s="1220"/>
      <c r="M296" s="1216"/>
      <c r="N296" s="1217"/>
      <c r="O296" s="1221">
        <v>36</v>
      </c>
      <c r="P296" s="1233">
        <v>0</v>
      </c>
      <c r="Q296" s="1233">
        <v>0</v>
      </c>
      <c r="R296" s="1233">
        <v>0</v>
      </c>
      <c r="S296" s="1233">
        <v>0</v>
      </c>
      <c r="T296" s="1233">
        <v>0</v>
      </c>
      <c r="U296" s="1233">
        <f>$F$56</f>
        <v>0</v>
      </c>
      <c r="V296" s="1233">
        <f t="shared" si="3348"/>
        <v>0</v>
      </c>
      <c r="W296" s="1233">
        <f t="shared" si="3317"/>
        <v>0</v>
      </c>
      <c r="X296" s="1233">
        <f t="shared" si="3287"/>
        <v>0</v>
      </c>
      <c r="Y296" s="1233">
        <f t="shared" si="3258"/>
        <v>0</v>
      </c>
      <c r="Z296" s="1233">
        <f t="shared" si="3230"/>
        <v>0</v>
      </c>
      <c r="AA296" s="1233">
        <f t="shared" si="3203"/>
        <v>0</v>
      </c>
      <c r="AB296" s="1233">
        <f t="shared" si="3177"/>
        <v>0</v>
      </c>
      <c r="AC296" s="1233">
        <f t="shared" si="3152"/>
        <v>0</v>
      </c>
      <c r="AD296" s="1233">
        <f t="shared" si="3128"/>
        <v>0</v>
      </c>
      <c r="AE296" s="1233">
        <f t="shared" si="3105"/>
        <v>0</v>
      </c>
      <c r="AF296" s="1233">
        <f t="shared" si="3555" ref="AF296:AU311">$F$223</f>
        <v>0</v>
      </c>
      <c r="AG296" s="1233">
        <f t="shared" si="3523"/>
        <v>0</v>
      </c>
      <c r="AH296" s="1233">
        <f t="shared" si="3491"/>
        <v>0</v>
      </c>
      <c r="AI296" s="1233">
        <f t="shared" si="3459"/>
        <v>0</v>
      </c>
      <c r="AJ296" s="1233">
        <f t="shared" si="3427"/>
        <v>0</v>
      </c>
      <c r="AK296" s="1233">
        <f t="shared" si="3395"/>
        <v>0</v>
      </c>
      <c r="AL296" s="1233">
        <f t="shared" si="3364"/>
        <v>0</v>
      </c>
      <c r="AM296" s="1233">
        <f t="shared" si="3333"/>
        <v>0</v>
      </c>
      <c r="AN296" s="1233">
        <f t="shared" si="3303"/>
        <v>0</v>
      </c>
      <c r="AO296" s="1233">
        <f t="shared" si="3274"/>
        <v>0</v>
      </c>
      <c r="AP296" s="1233">
        <f t="shared" si="3246"/>
        <v>0</v>
      </c>
      <c r="AQ296" s="1233">
        <f t="shared" si="3219"/>
        <v>0</v>
      </c>
      <c r="AR296" s="1233">
        <f t="shared" si="3193"/>
        <v>0</v>
      </c>
      <c r="AS296" s="1233">
        <f t="shared" si="3168"/>
        <v>0</v>
      </c>
      <c r="AT296" s="1233">
        <f t="shared" si="3144"/>
        <v>0</v>
      </c>
      <c r="AU296" s="1233">
        <f t="shared" si="3121"/>
        <v>0</v>
      </c>
      <c r="AV296" s="1233">
        <f t="shared" si="3571" ref="AV296:BK311">$F$207</f>
        <v>0</v>
      </c>
      <c r="AW296" s="1233">
        <f t="shared" si="3539"/>
        <v>0</v>
      </c>
      <c r="AX296" s="1233">
        <f t="shared" si="3507"/>
        <v>0</v>
      </c>
      <c r="AY296" s="1233">
        <v>0</v>
      </c>
      <c r="AZ296" s="1233">
        <v>0</v>
      </c>
      <c r="BA296" s="1221">
        <v>0</v>
      </c>
      <c r="BB296" s="1221">
        <v>0</v>
      </c>
      <c r="BC296" s="1221">
        <v>0</v>
      </c>
      <c r="BD296" s="1221">
        <v>0</v>
      </c>
      <c r="BE296" s="1221">
        <v>0</v>
      </c>
      <c r="BF296" s="1221">
        <v>0</v>
      </c>
      <c r="BG296" s="1221">
        <v>0</v>
      </c>
      <c r="BH296" s="1221">
        <v>0</v>
      </c>
      <c r="BI296" s="1221">
        <v>0</v>
      </c>
      <c r="BJ296" s="1221">
        <v>0</v>
      </c>
      <c r="BK296" s="1221">
        <v>0</v>
      </c>
      <c r="BL296" s="1221">
        <v>0</v>
      </c>
      <c r="BM296" s="1221">
        <v>0</v>
      </c>
      <c r="BN296" s="1221">
        <v>0</v>
      </c>
      <c r="BO296" s="1221">
        <v>0</v>
      </c>
      <c r="BP296" s="1217"/>
      <c r="BQ296" s="1217"/>
      <c r="BR296" s="1184"/>
      <c r="BS296" s="1184"/>
      <c r="BT296" s="1184"/>
      <c r="BU296" s="1184"/>
      <c r="BV296" s="1184"/>
      <c r="BW296" s="1184"/>
      <c r="BX296" s="1184"/>
      <c r="BY296" s="1184"/>
      <c r="BZ296" s="208"/>
      <c r="CA296" s="208"/>
      <c r="CB296" s="208"/>
      <c r="CC296" s="208"/>
      <c r="CD296" s="211"/>
    </row>
    <row r="297" ht="18" customHeight="1">
      <c r="A297" s="1234">
        <v>20</v>
      </c>
      <c r="B297" s="1236">
        <f>HLOOKUP($F$21,$M$26:$AP$64,21,-1)</f>
        <v>0</v>
      </c>
      <c r="C297" s="1217"/>
      <c r="D297" s="1217"/>
      <c r="E297" s="1217"/>
      <c r="F297" s="1233">
        <f>ROUND($B297*$F$271,0)</f>
        <v>0</v>
      </c>
      <c r="G297" s="1217"/>
      <c r="H297" s="1217"/>
      <c r="I297" s="1217"/>
      <c r="J297" s="1217"/>
      <c r="K297" s="1233">
        <f>ROUND($B297*$K$20,0)</f>
        <v>0</v>
      </c>
      <c r="L297" s="1220"/>
      <c r="M297" s="1216"/>
      <c r="N297" s="1217"/>
      <c r="O297" s="1221">
        <v>37</v>
      </c>
      <c r="P297" s="1233">
        <v>0</v>
      </c>
      <c r="Q297" s="1233">
        <v>0</v>
      </c>
      <c r="R297" s="1233">
        <v>0</v>
      </c>
      <c r="S297" s="1233">
        <v>0</v>
      </c>
      <c r="T297" s="1233">
        <v>0</v>
      </c>
      <c r="U297" s="1233">
        <v>0</v>
      </c>
      <c r="V297" s="1233">
        <f>$F$56</f>
        <v>0</v>
      </c>
      <c r="W297" s="1233">
        <f t="shared" si="3348"/>
        <v>0</v>
      </c>
      <c r="X297" s="1233">
        <f t="shared" si="3317"/>
        <v>0</v>
      </c>
      <c r="Y297" s="1233">
        <f t="shared" si="3287"/>
        <v>0</v>
      </c>
      <c r="Z297" s="1233">
        <f t="shared" si="3258"/>
        <v>0</v>
      </c>
      <c r="AA297" s="1233">
        <f t="shared" si="3230"/>
        <v>0</v>
      </c>
      <c r="AB297" s="1233">
        <f t="shared" si="3203"/>
        <v>0</v>
      </c>
      <c r="AC297" s="1233">
        <f t="shared" si="3177"/>
        <v>0</v>
      </c>
      <c r="AD297" s="1233">
        <f t="shared" si="3152"/>
        <v>0</v>
      </c>
      <c r="AE297" s="1233">
        <f t="shared" si="3128"/>
        <v>0</v>
      </c>
      <c r="AF297" s="1233">
        <f t="shared" si="3587" ref="AF297:AU312">$F$224</f>
        <v>0</v>
      </c>
      <c r="AG297" s="1233">
        <f t="shared" si="3555"/>
        <v>0</v>
      </c>
      <c r="AH297" s="1233">
        <f t="shared" si="3523"/>
        <v>0</v>
      </c>
      <c r="AI297" s="1233">
        <f t="shared" si="3491"/>
        <v>0</v>
      </c>
      <c r="AJ297" s="1233">
        <f t="shared" si="3459"/>
        <v>0</v>
      </c>
      <c r="AK297" s="1233">
        <f t="shared" si="3427"/>
        <v>0</v>
      </c>
      <c r="AL297" s="1233">
        <f t="shared" si="3395"/>
        <v>0</v>
      </c>
      <c r="AM297" s="1233">
        <f t="shared" si="3364"/>
        <v>0</v>
      </c>
      <c r="AN297" s="1233">
        <f t="shared" si="3333"/>
        <v>0</v>
      </c>
      <c r="AO297" s="1233">
        <f t="shared" si="3303"/>
        <v>0</v>
      </c>
      <c r="AP297" s="1233">
        <f t="shared" si="3274"/>
        <v>0</v>
      </c>
      <c r="AQ297" s="1233">
        <f t="shared" si="3246"/>
        <v>0</v>
      </c>
      <c r="AR297" s="1233">
        <f t="shared" si="3219"/>
        <v>0</v>
      </c>
      <c r="AS297" s="1233">
        <f t="shared" si="3193"/>
        <v>0</v>
      </c>
      <c r="AT297" s="1233">
        <f t="shared" si="3168"/>
        <v>0</v>
      </c>
      <c r="AU297" s="1233">
        <f t="shared" si="3144"/>
        <v>0</v>
      </c>
      <c r="AV297" s="1233">
        <f t="shared" si="3603" ref="AV297:BK312">$F$208</f>
        <v>0</v>
      </c>
      <c r="AW297" s="1233">
        <f t="shared" si="3571"/>
        <v>0</v>
      </c>
      <c r="AX297" s="1233">
        <f t="shared" si="3539"/>
        <v>0</v>
      </c>
      <c r="AY297" s="1233">
        <f t="shared" si="3507"/>
        <v>0</v>
      </c>
      <c r="AZ297" s="1233">
        <v>0</v>
      </c>
      <c r="BA297" s="1221">
        <v>0</v>
      </c>
      <c r="BB297" s="1221">
        <v>0</v>
      </c>
      <c r="BC297" s="1221">
        <v>0</v>
      </c>
      <c r="BD297" s="1221">
        <v>0</v>
      </c>
      <c r="BE297" s="1221">
        <v>0</v>
      </c>
      <c r="BF297" s="1221">
        <v>0</v>
      </c>
      <c r="BG297" s="1221">
        <v>0</v>
      </c>
      <c r="BH297" s="1221">
        <v>0</v>
      </c>
      <c r="BI297" s="1221">
        <v>0</v>
      </c>
      <c r="BJ297" s="1221">
        <v>0</v>
      </c>
      <c r="BK297" s="1221">
        <v>0</v>
      </c>
      <c r="BL297" s="1221">
        <v>0</v>
      </c>
      <c r="BM297" s="1221">
        <v>0</v>
      </c>
      <c r="BN297" s="1221">
        <v>0</v>
      </c>
      <c r="BO297" s="1221">
        <v>0</v>
      </c>
      <c r="BP297" s="1217"/>
      <c r="BQ297" s="1217"/>
      <c r="BR297" s="1217"/>
      <c r="BS297" s="1184"/>
      <c r="BT297" s="1184"/>
      <c r="BU297" s="1184"/>
      <c r="BV297" s="1184"/>
      <c r="BW297" s="1184"/>
      <c r="BX297" s="1184"/>
      <c r="BY297" s="1184"/>
      <c r="BZ297" s="208"/>
      <c r="CA297" s="208"/>
      <c r="CB297" s="208"/>
      <c r="CC297" s="208"/>
      <c r="CD297" s="211"/>
    </row>
    <row r="298" ht="18" customHeight="1">
      <c r="A298" s="1234">
        <v>21</v>
      </c>
      <c r="B298" s="1236">
        <f>HLOOKUP($F$21,$M$26:$AP$64,22,-1)</f>
        <v>0</v>
      </c>
      <c r="C298" s="1217"/>
      <c r="D298" s="1217"/>
      <c r="E298" s="1217"/>
      <c r="F298" s="1233">
        <f>ROUND($B298*$F$271,0)</f>
        <v>0</v>
      </c>
      <c r="G298" s="1217"/>
      <c r="H298" s="1217"/>
      <c r="I298" s="1217"/>
      <c r="J298" s="1217"/>
      <c r="K298" s="1233">
        <f>ROUND($B298*$K$20,0)</f>
        <v>0</v>
      </c>
      <c r="L298" s="1220"/>
      <c r="M298" s="1216"/>
      <c r="N298" s="1217"/>
      <c r="O298" s="1221">
        <v>38</v>
      </c>
      <c r="P298" s="1233">
        <v>0</v>
      </c>
      <c r="Q298" s="1233">
        <v>0</v>
      </c>
      <c r="R298" s="1233">
        <v>0</v>
      </c>
      <c r="S298" s="1233">
        <v>0</v>
      </c>
      <c r="T298" s="1233">
        <v>0</v>
      </c>
      <c r="U298" s="1233">
        <v>0</v>
      </c>
      <c r="V298" s="1233">
        <v>0</v>
      </c>
      <c r="W298" s="1233">
        <f>$F$56</f>
        <v>0</v>
      </c>
      <c r="X298" s="1233">
        <f t="shared" si="3348"/>
        <v>0</v>
      </c>
      <c r="Y298" s="1233">
        <f t="shared" si="3317"/>
        <v>0</v>
      </c>
      <c r="Z298" s="1233">
        <f t="shared" si="3287"/>
        <v>0</v>
      </c>
      <c r="AA298" s="1233">
        <f t="shared" si="3258"/>
        <v>0</v>
      </c>
      <c r="AB298" s="1233">
        <f t="shared" si="3230"/>
        <v>0</v>
      </c>
      <c r="AC298" s="1233">
        <f t="shared" si="3203"/>
        <v>0</v>
      </c>
      <c r="AD298" s="1233">
        <f t="shared" si="3177"/>
        <v>0</v>
      </c>
      <c r="AE298" s="1233">
        <f t="shared" si="3152"/>
        <v>0</v>
      </c>
      <c r="AF298" s="1233">
        <f t="shared" si="3619" ref="AF298:AU313">$F$225</f>
        <v>0</v>
      </c>
      <c r="AG298" s="1233">
        <f t="shared" si="3587"/>
        <v>0</v>
      </c>
      <c r="AH298" s="1233">
        <f t="shared" si="3555"/>
        <v>0</v>
      </c>
      <c r="AI298" s="1233">
        <f t="shared" si="3523"/>
        <v>0</v>
      </c>
      <c r="AJ298" s="1233">
        <f t="shared" si="3491"/>
        <v>0</v>
      </c>
      <c r="AK298" s="1233">
        <f t="shared" si="3459"/>
        <v>0</v>
      </c>
      <c r="AL298" s="1233">
        <f t="shared" si="3427"/>
        <v>0</v>
      </c>
      <c r="AM298" s="1233">
        <f t="shared" si="3395"/>
        <v>0</v>
      </c>
      <c r="AN298" s="1233">
        <f t="shared" si="3364"/>
        <v>0</v>
      </c>
      <c r="AO298" s="1233">
        <f t="shared" si="3333"/>
        <v>0</v>
      </c>
      <c r="AP298" s="1233">
        <f t="shared" si="3303"/>
        <v>0</v>
      </c>
      <c r="AQ298" s="1233">
        <f t="shared" si="3274"/>
        <v>0</v>
      </c>
      <c r="AR298" s="1233">
        <f t="shared" si="3246"/>
        <v>0</v>
      </c>
      <c r="AS298" s="1233">
        <f t="shared" si="3219"/>
        <v>0</v>
      </c>
      <c r="AT298" s="1233">
        <f t="shared" si="3193"/>
        <v>0</v>
      </c>
      <c r="AU298" s="1233">
        <f t="shared" si="3168"/>
        <v>0</v>
      </c>
      <c r="AV298" s="1233">
        <f t="shared" si="3635" ref="AV298:BK313">$F$209</f>
        <v>0</v>
      </c>
      <c r="AW298" s="1233">
        <f t="shared" si="3603"/>
        <v>0</v>
      </c>
      <c r="AX298" s="1233">
        <f t="shared" si="3571"/>
        <v>0</v>
      </c>
      <c r="AY298" s="1233">
        <f t="shared" si="3539"/>
        <v>0</v>
      </c>
      <c r="AZ298" s="1233">
        <f t="shared" si="3507"/>
        <v>0</v>
      </c>
      <c r="BA298" s="1221">
        <v>0</v>
      </c>
      <c r="BB298" s="1221">
        <v>0</v>
      </c>
      <c r="BC298" s="1221">
        <v>0</v>
      </c>
      <c r="BD298" s="1221">
        <v>0</v>
      </c>
      <c r="BE298" s="1221">
        <v>0</v>
      </c>
      <c r="BF298" s="1221">
        <v>0</v>
      </c>
      <c r="BG298" s="1221">
        <v>0</v>
      </c>
      <c r="BH298" s="1221">
        <v>0</v>
      </c>
      <c r="BI298" s="1221">
        <v>0</v>
      </c>
      <c r="BJ298" s="1221">
        <v>0</v>
      </c>
      <c r="BK298" s="1221">
        <v>0</v>
      </c>
      <c r="BL298" s="1221">
        <v>0</v>
      </c>
      <c r="BM298" s="1221">
        <v>0</v>
      </c>
      <c r="BN298" s="1221">
        <v>0</v>
      </c>
      <c r="BO298" s="1221">
        <v>0</v>
      </c>
      <c r="BP298" s="1217"/>
      <c r="BQ298" s="1217"/>
      <c r="BR298" s="1217"/>
      <c r="BS298" s="1217"/>
      <c r="BT298" s="1184"/>
      <c r="BU298" s="1184"/>
      <c r="BV298" s="1184"/>
      <c r="BW298" s="1184"/>
      <c r="BX298" s="1184"/>
      <c r="BY298" s="1184"/>
      <c r="BZ298" s="208"/>
      <c r="CA298" s="208"/>
      <c r="CB298" s="208"/>
      <c r="CC298" s="208"/>
      <c r="CD298" s="211"/>
    </row>
    <row r="299" ht="18" customHeight="1">
      <c r="A299" s="1234">
        <v>22</v>
      </c>
      <c r="B299" s="1236">
        <f>HLOOKUP($F$21,$M$26:$AP$64,23,-1)</f>
        <v>0</v>
      </c>
      <c r="C299" s="1217"/>
      <c r="D299" s="1217"/>
      <c r="E299" s="1217"/>
      <c r="F299" s="1233">
        <f>ROUND($B299*$F$271,0)</f>
        <v>0</v>
      </c>
      <c r="G299" s="1217"/>
      <c r="H299" s="1217"/>
      <c r="I299" s="1217"/>
      <c r="J299" s="1217"/>
      <c r="K299" s="1233">
        <f>ROUND($B299*$K$20,0)</f>
        <v>0</v>
      </c>
      <c r="L299" s="1220"/>
      <c r="M299" s="1216"/>
      <c r="N299" s="1217"/>
      <c r="O299" s="1221">
        <v>39</v>
      </c>
      <c r="P299" s="1233">
        <v>0</v>
      </c>
      <c r="Q299" s="1233">
        <v>0</v>
      </c>
      <c r="R299" s="1233">
        <v>0</v>
      </c>
      <c r="S299" s="1233">
        <v>0</v>
      </c>
      <c r="T299" s="1233">
        <v>0</v>
      </c>
      <c r="U299" s="1233">
        <v>0</v>
      </c>
      <c r="V299" s="1233">
        <v>0</v>
      </c>
      <c r="W299" s="1233">
        <v>0</v>
      </c>
      <c r="X299" s="1233">
        <f>$F$56</f>
        <v>0</v>
      </c>
      <c r="Y299" s="1233">
        <f t="shared" si="3348"/>
        <v>0</v>
      </c>
      <c r="Z299" s="1233">
        <f t="shared" si="3317"/>
        <v>0</v>
      </c>
      <c r="AA299" s="1233">
        <f t="shared" si="3287"/>
        <v>0</v>
      </c>
      <c r="AB299" s="1233">
        <f t="shared" si="3258"/>
        <v>0</v>
      </c>
      <c r="AC299" s="1233">
        <f t="shared" si="3230"/>
        <v>0</v>
      </c>
      <c r="AD299" s="1233">
        <f t="shared" si="3203"/>
        <v>0</v>
      </c>
      <c r="AE299" s="1233">
        <f t="shared" si="3177"/>
        <v>0</v>
      </c>
      <c r="AF299" s="1233">
        <f t="shared" si="3651" ref="AF299:AU314">$F$226</f>
        <v>0</v>
      </c>
      <c r="AG299" s="1233">
        <f t="shared" si="3619"/>
        <v>0</v>
      </c>
      <c r="AH299" s="1233">
        <f t="shared" si="3587"/>
        <v>0</v>
      </c>
      <c r="AI299" s="1233">
        <f t="shared" si="3555"/>
        <v>0</v>
      </c>
      <c r="AJ299" s="1233">
        <f t="shared" si="3523"/>
        <v>0</v>
      </c>
      <c r="AK299" s="1233">
        <f t="shared" si="3491"/>
        <v>0</v>
      </c>
      <c r="AL299" s="1233">
        <f t="shared" si="3459"/>
        <v>0</v>
      </c>
      <c r="AM299" s="1233">
        <f t="shared" si="3427"/>
        <v>0</v>
      </c>
      <c r="AN299" s="1233">
        <f t="shared" si="3395"/>
        <v>0</v>
      </c>
      <c r="AO299" s="1233">
        <f t="shared" si="3364"/>
        <v>0</v>
      </c>
      <c r="AP299" s="1233">
        <f t="shared" si="3333"/>
        <v>0</v>
      </c>
      <c r="AQ299" s="1233">
        <f t="shared" si="3303"/>
        <v>0</v>
      </c>
      <c r="AR299" s="1233">
        <f t="shared" si="3274"/>
        <v>0</v>
      </c>
      <c r="AS299" s="1233">
        <f t="shared" si="3246"/>
        <v>0</v>
      </c>
      <c r="AT299" s="1233">
        <f t="shared" si="3219"/>
        <v>0</v>
      </c>
      <c r="AU299" s="1233">
        <f t="shared" si="3193"/>
        <v>0</v>
      </c>
      <c r="AV299" s="1233">
        <f t="shared" si="3667" ref="AV299:BK314">$F$210</f>
        <v>0</v>
      </c>
      <c r="AW299" s="1233">
        <f t="shared" si="3635"/>
        <v>0</v>
      </c>
      <c r="AX299" s="1233">
        <f t="shared" si="3603"/>
        <v>0</v>
      </c>
      <c r="AY299" s="1233">
        <f t="shared" si="3571"/>
        <v>0</v>
      </c>
      <c r="AZ299" s="1233">
        <f t="shared" si="3539"/>
        <v>0</v>
      </c>
      <c r="BA299" s="1233">
        <f t="shared" si="3507"/>
        <v>0</v>
      </c>
      <c r="BB299" s="1221">
        <v>0</v>
      </c>
      <c r="BC299" s="1221">
        <v>0</v>
      </c>
      <c r="BD299" s="1221">
        <v>0</v>
      </c>
      <c r="BE299" s="1221">
        <v>0</v>
      </c>
      <c r="BF299" s="1221">
        <v>0</v>
      </c>
      <c r="BG299" s="1221">
        <v>0</v>
      </c>
      <c r="BH299" s="1221">
        <v>0</v>
      </c>
      <c r="BI299" s="1221">
        <v>0</v>
      </c>
      <c r="BJ299" s="1221">
        <v>0</v>
      </c>
      <c r="BK299" s="1221">
        <v>0</v>
      </c>
      <c r="BL299" s="1221">
        <v>0</v>
      </c>
      <c r="BM299" s="1221">
        <v>0</v>
      </c>
      <c r="BN299" s="1221">
        <v>0</v>
      </c>
      <c r="BO299" s="1221">
        <v>0</v>
      </c>
      <c r="BP299" s="1217"/>
      <c r="BQ299" s="1217"/>
      <c r="BR299" s="1217"/>
      <c r="BS299" s="1217"/>
      <c r="BT299" s="1217"/>
      <c r="BU299" s="1184"/>
      <c r="BV299" s="1184"/>
      <c r="BW299" s="1184"/>
      <c r="BX299" s="1184"/>
      <c r="BY299" s="1184"/>
      <c r="BZ299" s="208"/>
      <c r="CA299" s="208"/>
      <c r="CB299" s="208"/>
      <c r="CC299" s="208"/>
      <c r="CD299" s="211"/>
    </row>
    <row r="300" ht="18" customHeight="1">
      <c r="A300" s="1234">
        <v>23</v>
      </c>
      <c r="B300" s="1236">
        <f>HLOOKUP($F$21,$M$26:$AP$64,24,-1)</f>
        <v>0</v>
      </c>
      <c r="C300" s="1217"/>
      <c r="D300" s="1217"/>
      <c r="E300" s="1217"/>
      <c r="F300" s="1233">
        <f>ROUND($B300*$F$271,0)</f>
        <v>0</v>
      </c>
      <c r="G300" s="1217"/>
      <c r="H300" s="1217"/>
      <c r="I300" s="1217"/>
      <c r="J300" s="1217"/>
      <c r="K300" s="1233">
        <f>ROUND($B300*$K$20,0)</f>
        <v>0</v>
      </c>
      <c r="L300" s="1220"/>
      <c r="M300" s="1216"/>
      <c r="N300" s="1217"/>
      <c r="O300" s="1221">
        <v>40</v>
      </c>
      <c r="P300" s="1233">
        <v>0</v>
      </c>
      <c r="Q300" s="1233">
        <v>0</v>
      </c>
      <c r="R300" s="1233">
        <v>0</v>
      </c>
      <c r="S300" s="1233">
        <v>0</v>
      </c>
      <c r="T300" s="1233">
        <v>0</v>
      </c>
      <c r="U300" s="1233">
        <v>0</v>
      </c>
      <c r="V300" s="1233">
        <v>0</v>
      </c>
      <c r="W300" s="1233">
        <v>0</v>
      </c>
      <c r="X300" s="1233">
        <v>0</v>
      </c>
      <c r="Y300" s="1233">
        <f>$F$56</f>
        <v>0</v>
      </c>
      <c r="Z300" s="1233">
        <f t="shared" si="3348"/>
        <v>0</v>
      </c>
      <c r="AA300" s="1233">
        <f t="shared" si="3317"/>
        <v>0</v>
      </c>
      <c r="AB300" s="1233">
        <f t="shared" si="3287"/>
        <v>0</v>
      </c>
      <c r="AC300" s="1233">
        <f t="shared" si="3258"/>
        <v>0</v>
      </c>
      <c r="AD300" s="1233">
        <f t="shared" si="3230"/>
        <v>0</v>
      </c>
      <c r="AE300" s="1233">
        <f t="shared" si="3203"/>
        <v>0</v>
      </c>
      <c r="AF300" s="1233">
        <f t="shared" si="3683" ref="AF300:AU315">$F$227</f>
        <v>0</v>
      </c>
      <c r="AG300" s="1233">
        <f t="shared" si="3651"/>
        <v>0</v>
      </c>
      <c r="AH300" s="1233">
        <f t="shared" si="3619"/>
        <v>0</v>
      </c>
      <c r="AI300" s="1233">
        <f t="shared" si="3587"/>
        <v>0</v>
      </c>
      <c r="AJ300" s="1233">
        <f t="shared" si="3555"/>
        <v>0</v>
      </c>
      <c r="AK300" s="1233">
        <f t="shared" si="3523"/>
        <v>0</v>
      </c>
      <c r="AL300" s="1233">
        <f t="shared" si="3491"/>
        <v>0</v>
      </c>
      <c r="AM300" s="1233">
        <f t="shared" si="3459"/>
        <v>0</v>
      </c>
      <c r="AN300" s="1233">
        <f t="shared" si="3427"/>
        <v>0</v>
      </c>
      <c r="AO300" s="1233">
        <f t="shared" si="3395"/>
        <v>0</v>
      </c>
      <c r="AP300" s="1233">
        <f t="shared" si="3364"/>
        <v>0</v>
      </c>
      <c r="AQ300" s="1233">
        <f t="shared" si="3333"/>
        <v>0</v>
      </c>
      <c r="AR300" s="1233">
        <f t="shared" si="3303"/>
        <v>0</v>
      </c>
      <c r="AS300" s="1233">
        <f t="shared" si="3274"/>
        <v>0</v>
      </c>
      <c r="AT300" s="1233">
        <f t="shared" si="3246"/>
        <v>0</v>
      </c>
      <c r="AU300" s="1233">
        <f t="shared" si="3219"/>
        <v>0</v>
      </c>
      <c r="AV300" s="1233">
        <f t="shared" si="3699" ref="AV300:BK315">$F$211</f>
        <v>0</v>
      </c>
      <c r="AW300" s="1233">
        <f t="shared" si="3667"/>
        <v>0</v>
      </c>
      <c r="AX300" s="1233">
        <f t="shared" si="3635"/>
        <v>0</v>
      </c>
      <c r="AY300" s="1233">
        <f t="shared" si="3603"/>
        <v>0</v>
      </c>
      <c r="AZ300" s="1233">
        <f t="shared" si="3571"/>
        <v>0</v>
      </c>
      <c r="BA300" s="1233">
        <f t="shared" si="3539"/>
        <v>0</v>
      </c>
      <c r="BB300" s="1233">
        <f t="shared" si="3507"/>
        <v>0</v>
      </c>
      <c r="BC300" s="1221">
        <v>0</v>
      </c>
      <c r="BD300" s="1221">
        <v>0</v>
      </c>
      <c r="BE300" s="1221">
        <v>0</v>
      </c>
      <c r="BF300" s="1221">
        <v>0</v>
      </c>
      <c r="BG300" s="1221">
        <v>0</v>
      </c>
      <c r="BH300" s="1221">
        <v>0</v>
      </c>
      <c r="BI300" s="1221">
        <v>0</v>
      </c>
      <c r="BJ300" s="1221">
        <v>0</v>
      </c>
      <c r="BK300" s="1221">
        <v>0</v>
      </c>
      <c r="BL300" s="1221">
        <v>0</v>
      </c>
      <c r="BM300" s="1221">
        <v>0</v>
      </c>
      <c r="BN300" s="1221">
        <v>0</v>
      </c>
      <c r="BO300" s="1221">
        <v>0</v>
      </c>
      <c r="BP300" s="1217"/>
      <c r="BQ300" s="1217"/>
      <c r="BR300" s="1217"/>
      <c r="BS300" s="1217"/>
      <c r="BT300" s="1217"/>
      <c r="BU300" s="1217"/>
      <c r="BV300" s="1184"/>
      <c r="BW300" s="1184"/>
      <c r="BX300" s="1184"/>
      <c r="BY300" s="1184"/>
      <c r="BZ300" s="208"/>
      <c r="CA300" s="208"/>
      <c r="CB300" s="208"/>
      <c r="CC300" s="208"/>
      <c r="CD300" s="211"/>
    </row>
    <row r="301" ht="18" customHeight="1">
      <c r="A301" s="1234">
        <v>24</v>
      </c>
      <c r="B301" s="1236">
        <f>HLOOKUP($F$21,$M$26:$AP$64,25,-1)</f>
        <v>0</v>
      </c>
      <c r="C301" s="1217"/>
      <c r="D301" s="1217"/>
      <c r="E301" s="1217"/>
      <c r="F301" s="1233">
        <f>ROUND($B301*$F$271,0)</f>
        <v>0</v>
      </c>
      <c r="G301" s="1217"/>
      <c r="H301" s="1217"/>
      <c r="I301" s="1217"/>
      <c r="J301" s="1217"/>
      <c r="K301" s="1233">
        <f>ROUND($B301*$K$20,0)</f>
        <v>0</v>
      </c>
      <c r="L301" s="1220"/>
      <c r="M301" s="1216"/>
      <c r="N301" s="1217"/>
      <c r="O301" s="1221">
        <v>41</v>
      </c>
      <c r="P301" s="1233">
        <v>0</v>
      </c>
      <c r="Q301" s="1233">
        <v>0</v>
      </c>
      <c r="R301" s="1233">
        <v>0</v>
      </c>
      <c r="S301" s="1233">
        <v>0</v>
      </c>
      <c r="T301" s="1233">
        <v>0</v>
      </c>
      <c r="U301" s="1233">
        <v>0</v>
      </c>
      <c r="V301" s="1233">
        <v>0</v>
      </c>
      <c r="W301" s="1233">
        <v>0</v>
      </c>
      <c r="X301" s="1233">
        <v>0</v>
      </c>
      <c r="Y301" s="1233">
        <v>0</v>
      </c>
      <c r="Z301" s="1233">
        <f>$F$56</f>
        <v>0</v>
      </c>
      <c r="AA301" s="1233">
        <f t="shared" si="3348"/>
        <v>0</v>
      </c>
      <c r="AB301" s="1233">
        <f t="shared" si="3317"/>
        <v>0</v>
      </c>
      <c r="AC301" s="1233">
        <f t="shared" si="3287"/>
        <v>0</v>
      </c>
      <c r="AD301" s="1233">
        <f t="shared" si="3258"/>
        <v>0</v>
      </c>
      <c r="AE301" s="1233">
        <f t="shared" si="3230"/>
        <v>0</v>
      </c>
      <c r="AF301" s="1233">
        <f t="shared" si="3715" ref="AF301:AU316">$F$228</f>
        <v>0</v>
      </c>
      <c r="AG301" s="1233">
        <f t="shared" si="3683"/>
        <v>0</v>
      </c>
      <c r="AH301" s="1233">
        <f t="shared" si="3651"/>
        <v>0</v>
      </c>
      <c r="AI301" s="1233">
        <f t="shared" si="3619"/>
        <v>0</v>
      </c>
      <c r="AJ301" s="1233">
        <f t="shared" si="3587"/>
        <v>0</v>
      </c>
      <c r="AK301" s="1233">
        <f t="shared" si="3555"/>
        <v>0</v>
      </c>
      <c r="AL301" s="1233">
        <f t="shared" si="3523"/>
        <v>0</v>
      </c>
      <c r="AM301" s="1233">
        <f t="shared" si="3491"/>
        <v>0</v>
      </c>
      <c r="AN301" s="1233">
        <f t="shared" si="3459"/>
        <v>0</v>
      </c>
      <c r="AO301" s="1233">
        <f t="shared" si="3427"/>
        <v>0</v>
      </c>
      <c r="AP301" s="1233">
        <f t="shared" si="3395"/>
        <v>0</v>
      </c>
      <c r="AQ301" s="1233">
        <f t="shared" si="3364"/>
        <v>0</v>
      </c>
      <c r="AR301" s="1233">
        <f t="shared" si="3333"/>
        <v>0</v>
      </c>
      <c r="AS301" s="1233">
        <f t="shared" si="3303"/>
        <v>0</v>
      </c>
      <c r="AT301" s="1233">
        <f t="shared" si="3274"/>
        <v>0</v>
      </c>
      <c r="AU301" s="1233">
        <f t="shared" si="3246"/>
        <v>0</v>
      </c>
      <c r="AV301" s="1233">
        <f t="shared" si="3731" ref="AV301:BK316">$F$212</f>
        <v>0</v>
      </c>
      <c r="AW301" s="1233">
        <f t="shared" si="3699"/>
        <v>0</v>
      </c>
      <c r="AX301" s="1233">
        <f t="shared" si="3667"/>
        <v>0</v>
      </c>
      <c r="AY301" s="1233">
        <f t="shared" si="3635"/>
        <v>0</v>
      </c>
      <c r="AZ301" s="1233">
        <f t="shared" si="3603"/>
        <v>0</v>
      </c>
      <c r="BA301" s="1233">
        <f t="shared" si="3571"/>
        <v>0</v>
      </c>
      <c r="BB301" s="1233">
        <f t="shared" si="3539"/>
        <v>0</v>
      </c>
      <c r="BC301" s="1233">
        <f t="shared" si="3507"/>
        <v>0</v>
      </c>
      <c r="BD301" s="1221">
        <v>0</v>
      </c>
      <c r="BE301" s="1221">
        <v>0</v>
      </c>
      <c r="BF301" s="1221">
        <v>0</v>
      </c>
      <c r="BG301" s="1221">
        <v>0</v>
      </c>
      <c r="BH301" s="1221">
        <v>0</v>
      </c>
      <c r="BI301" s="1221">
        <v>0</v>
      </c>
      <c r="BJ301" s="1221">
        <v>0</v>
      </c>
      <c r="BK301" s="1221">
        <v>0</v>
      </c>
      <c r="BL301" s="1221">
        <v>0</v>
      </c>
      <c r="BM301" s="1221">
        <v>0</v>
      </c>
      <c r="BN301" s="1221">
        <v>0</v>
      </c>
      <c r="BO301" s="1221">
        <v>0</v>
      </c>
      <c r="BP301" s="1217"/>
      <c r="BQ301" s="1217"/>
      <c r="BR301" s="1217"/>
      <c r="BS301" s="1217"/>
      <c r="BT301" s="1217"/>
      <c r="BU301" s="1217"/>
      <c r="BV301" s="1217"/>
      <c r="BW301" s="1184"/>
      <c r="BX301" s="1184"/>
      <c r="BY301" s="1184"/>
      <c r="BZ301" s="208"/>
      <c r="CA301" s="208"/>
      <c r="CB301" s="208"/>
      <c r="CC301" s="208"/>
      <c r="CD301" s="211"/>
    </row>
    <row r="302" ht="18" customHeight="1">
      <c r="A302" s="1234">
        <v>25</v>
      </c>
      <c r="B302" s="1236">
        <f>HLOOKUP($F$21,$M$26:$AP$64,26,-1)</f>
        <v>0</v>
      </c>
      <c r="C302" s="1217"/>
      <c r="D302" s="1217"/>
      <c r="E302" s="1217"/>
      <c r="F302" s="1233">
        <f>ROUND($B302*$F$271,0)</f>
        <v>0</v>
      </c>
      <c r="G302" s="1217"/>
      <c r="H302" s="1217"/>
      <c r="I302" s="1217"/>
      <c r="J302" s="1217"/>
      <c r="K302" s="1233">
        <f>ROUND($B302*$K$20,0)</f>
        <v>0</v>
      </c>
      <c r="L302" s="1220"/>
      <c r="M302" s="1216"/>
      <c r="N302" s="1217"/>
      <c r="O302" s="1221">
        <v>42</v>
      </c>
      <c r="P302" s="1233">
        <v>0</v>
      </c>
      <c r="Q302" s="1233">
        <v>0</v>
      </c>
      <c r="R302" s="1233">
        <v>0</v>
      </c>
      <c r="S302" s="1233">
        <v>0</v>
      </c>
      <c r="T302" s="1233">
        <v>0</v>
      </c>
      <c r="U302" s="1233">
        <v>0</v>
      </c>
      <c r="V302" s="1233">
        <v>0</v>
      </c>
      <c r="W302" s="1233">
        <v>0</v>
      </c>
      <c r="X302" s="1233">
        <v>0</v>
      </c>
      <c r="Y302" s="1233">
        <v>0</v>
      </c>
      <c r="Z302" s="1233">
        <v>0</v>
      </c>
      <c r="AA302" s="1233">
        <f>$F$56</f>
        <v>0</v>
      </c>
      <c r="AB302" s="1233">
        <f t="shared" si="3348"/>
        <v>0</v>
      </c>
      <c r="AC302" s="1233">
        <f t="shared" si="3317"/>
        <v>0</v>
      </c>
      <c r="AD302" s="1233">
        <f t="shared" si="3287"/>
        <v>0</v>
      </c>
      <c r="AE302" s="1233">
        <f t="shared" si="3258"/>
        <v>0</v>
      </c>
      <c r="AF302" s="1233">
        <f t="shared" si="3747" ref="AF302:AU317">$F$229</f>
        <v>0</v>
      </c>
      <c r="AG302" s="1233">
        <f t="shared" si="3715"/>
        <v>0</v>
      </c>
      <c r="AH302" s="1233">
        <f t="shared" si="3683"/>
        <v>0</v>
      </c>
      <c r="AI302" s="1233">
        <f t="shared" si="3651"/>
        <v>0</v>
      </c>
      <c r="AJ302" s="1233">
        <f t="shared" si="3619"/>
        <v>0</v>
      </c>
      <c r="AK302" s="1233">
        <f t="shared" si="3587"/>
        <v>0</v>
      </c>
      <c r="AL302" s="1233">
        <f t="shared" si="3555"/>
        <v>0</v>
      </c>
      <c r="AM302" s="1233">
        <f t="shared" si="3523"/>
        <v>0</v>
      </c>
      <c r="AN302" s="1233">
        <f t="shared" si="3491"/>
        <v>0</v>
      </c>
      <c r="AO302" s="1233">
        <f t="shared" si="3459"/>
        <v>0</v>
      </c>
      <c r="AP302" s="1233">
        <f t="shared" si="3427"/>
        <v>0</v>
      </c>
      <c r="AQ302" s="1233">
        <f t="shared" si="3395"/>
        <v>0</v>
      </c>
      <c r="AR302" s="1233">
        <f t="shared" si="3364"/>
        <v>0</v>
      </c>
      <c r="AS302" s="1233">
        <f t="shared" si="3333"/>
        <v>0</v>
      </c>
      <c r="AT302" s="1233">
        <f t="shared" si="3303"/>
        <v>0</v>
      </c>
      <c r="AU302" s="1233">
        <f t="shared" si="3274"/>
        <v>0</v>
      </c>
      <c r="AV302" s="1233">
        <f t="shared" si="3763" ref="AV302:BK317">$F$213</f>
        <v>0</v>
      </c>
      <c r="AW302" s="1233">
        <f t="shared" si="3731"/>
        <v>0</v>
      </c>
      <c r="AX302" s="1233">
        <f t="shared" si="3699"/>
        <v>0</v>
      </c>
      <c r="AY302" s="1233">
        <f t="shared" si="3667"/>
        <v>0</v>
      </c>
      <c r="AZ302" s="1233">
        <f t="shared" si="3635"/>
        <v>0</v>
      </c>
      <c r="BA302" s="1233">
        <f t="shared" si="3603"/>
        <v>0</v>
      </c>
      <c r="BB302" s="1233">
        <f t="shared" si="3571"/>
        <v>0</v>
      </c>
      <c r="BC302" s="1233">
        <f t="shared" si="3539"/>
        <v>0</v>
      </c>
      <c r="BD302" s="1233">
        <f t="shared" si="3507"/>
        <v>0</v>
      </c>
      <c r="BE302" s="1221">
        <v>0</v>
      </c>
      <c r="BF302" s="1221">
        <v>0</v>
      </c>
      <c r="BG302" s="1221">
        <v>0</v>
      </c>
      <c r="BH302" s="1221">
        <v>0</v>
      </c>
      <c r="BI302" s="1221">
        <v>0</v>
      </c>
      <c r="BJ302" s="1221">
        <v>0</v>
      </c>
      <c r="BK302" s="1221">
        <v>0</v>
      </c>
      <c r="BL302" s="1221">
        <v>0</v>
      </c>
      <c r="BM302" s="1221">
        <v>0</v>
      </c>
      <c r="BN302" s="1221">
        <v>0</v>
      </c>
      <c r="BO302" s="1221">
        <v>0</v>
      </c>
      <c r="BP302" s="1217"/>
      <c r="BQ302" s="1217"/>
      <c r="BR302" s="1217"/>
      <c r="BS302" s="1217"/>
      <c r="BT302" s="1217"/>
      <c r="BU302" s="1217"/>
      <c r="BV302" s="1217"/>
      <c r="BW302" s="1217"/>
      <c r="BX302" s="1184"/>
      <c r="BY302" s="1184"/>
      <c r="BZ302" s="208"/>
      <c r="CA302" s="208"/>
      <c r="CB302" s="208"/>
      <c r="CC302" s="208"/>
      <c r="CD302" s="211"/>
    </row>
    <row r="303" ht="18" customHeight="1">
      <c r="A303" s="1234">
        <v>26</v>
      </c>
      <c r="B303" s="1236">
        <f>HLOOKUP($F$21,$M$26:$AP$64,27,-1)</f>
        <v>0</v>
      </c>
      <c r="C303" s="1217"/>
      <c r="D303" s="1217"/>
      <c r="E303" s="1217"/>
      <c r="F303" s="1233">
        <f>ROUND($B303*$F$271,0)</f>
        <v>0</v>
      </c>
      <c r="G303" s="1217"/>
      <c r="H303" s="1217"/>
      <c r="I303" s="1217"/>
      <c r="J303" s="1217"/>
      <c r="K303" s="1233">
        <f>ROUND($B303*$K$20,0)</f>
        <v>0</v>
      </c>
      <c r="L303" s="1220"/>
      <c r="M303" s="1216"/>
      <c r="N303" s="1217"/>
      <c r="O303" s="1221">
        <v>43</v>
      </c>
      <c r="P303" s="1233">
        <v>0</v>
      </c>
      <c r="Q303" s="1233">
        <v>0</v>
      </c>
      <c r="R303" s="1233">
        <v>0</v>
      </c>
      <c r="S303" s="1233">
        <v>0</v>
      </c>
      <c r="T303" s="1233">
        <v>0</v>
      </c>
      <c r="U303" s="1233">
        <v>0</v>
      </c>
      <c r="V303" s="1233">
        <v>0</v>
      </c>
      <c r="W303" s="1233">
        <v>0</v>
      </c>
      <c r="X303" s="1233">
        <v>0</v>
      </c>
      <c r="Y303" s="1233">
        <v>0</v>
      </c>
      <c r="Z303" s="1233">
        <v>0</v>
      </c>
      <c r="AA303" s="1233">
        <v>0</v>
      </c>
      <c r="AB303" s="1233">
        <f>$F$56</f>
        <v>0</v>
      </c>
      <c r="AC303" s="1233">
        <f t="shared" si="3348"/>
        <v>0</v>
      </c>
      <c r="AD303" s="1233">
        <f t="shared" si="3317"/>
        <v>0</v>
      </c>
      <c r="AE303" s="1233">
        <f t="shared" si="3287"/>
        <v>0</v>
      </c>
      <c r="AF303" s="1233">
        <f t="shared" si="3779" ref="AF303:AU318">$F$230</f>
        <v>0</v>
      </c>
      <c r="AG303" s="1233">
        <f t="shared" si="3747"/>
        <v>0</v>
      </c>
      <c r="AH303" s="1233">
        <f t="shared" si="3715"/>
        <v>0</v>
      </c>
      <c r="AI303" s="1233">
        <f t="shared" si="3683"/>
        <v>0</v>
      </c>
      <c r="AJ303" s="1233">
        <f t="shared" si="3651"/>
        <v>0</v>
      </c>
      <c r="AK303" s="1233">
        <f t="shared" si="3619"/>
        <v>0</v>
      </c>
      <c r="AL303" s="1233">
        <f t="shared" si="3587"/>
        <v>0</v>
      </c>
      <c r="AM303" s="1233">
        <f t="shared" si="3555"/>
        <v>0</v>
      </c>
      <c r="AN303" s="1233">
        <f t="shared" si="3523"/>
        <v>0</v>
      </c>
      <c r="AO303" s="1233">
        <f t="shared" si="3491"/>
        <v>0</v>
      </c>
      <c r="AP303" s="1233">
        <f t="shared" si="3459"/>
        <v>0</v>
      </c>
      <c r="AQ303" s="1233">
        <f t="shared" si="3427"/>
        <v>0</v>
      </c>
      <c r="AR303" s="1233">
        <f t="shared" si="3395"/>
        <v>0</v>
      </c>
      <c r="AS303" s="1233">
        <f t="shared" si="3364"/>
        <v>0</v>
      </c>
      <c r="AT303" s="1233">
        <f t="shared" si="3333"/>
        <v>0</v>
      </c>
      <c r="AU303" s="1233">
        <f t="shared" si="3303"/>
        <v>0</v>
      </c>
      <c r="AV303" s="1233">
        <f t="shared" si="3795" ref="AV303:BK318">$F$214</f>
        <v>0</v>
      </c>
      <c r="AW303" s="1233">
        <f t="shared" si="3763"/>
        <v>0</v>
      </c>
      <c r="AX303" s="1233">
        <f t="shared" si="3731"/>
        <v>0</v>
      </c>
      <c r="AY303" s="1233">
        <f t="shared" si="3699"/>
        <v>0</v>
      </c>
      <c r="AZ303" s="1233">
        <f t="shared" si="3667"/>
        <v>0</v>
      </c>
      <c r="BA303" s="1233">
        <f t="shared" si="3635"/>
        <v>0</v>
      </c>
      <c r="BB303" s="1233">
        <f t="shared" si="3603"/>
        <v>0</v>
      </c>
      <c r="BC303" s="1233">
        <f t="shared" si="3571"/>
        <v>0</v>
      </c>
      <c r="BD303" s="1233">
        <f t="shared" si="3539"/>
        <v>0</v>
      </c>
      <c r="BE303" s="1233">
        <f t="shared" si="3507"/>
        <v>0</v>
      </c>
      <c r="BF303" s="1221">
        <v>0</v>
      </c>
      <c r="BG303" s="1221">
        <v>0</v>
      </c>
      <c r="BH303" s="1221">
        <v>0</v>
      </c>
      <c r="BI303" s="1221">
        <v>0</v>
      </c>
      <c r="BJ303" s="1221">
        <v>0</v>
      </c>
      <c r="BK303" s="1221">
        <v>0</v>
      </c>
      <c r="BL303" s="1221">
        <v>0</v>
      </c>
      <c r="BM303" s="1221">
        <v>0</v>
      </c>
      <c r="BN303" s="1221">
        <v>0</v>
      </c>
      <c r="BO303" s="1221">
        <v>0</v>
      </c>
      <c r="BP303" s="1217"/>
      <c r="BQ303" s="1217"/>
      <c r="BR303" s="1217"/>
      <c r="BS303" s="1217"/>
      <c r="BT303" s="1217"/>
      <c r="BU303" s="1217"/>
      <c r="BV303" s="1217"/>
      <c r="BW303" s="1217"/>
      <c r="BX303" s="1217"/>
      <c r="BY303" s="1184"/>
      <c r="BZ303" s="208"/>
      <c r="CA303" s="208"/>
      <c r="CB303" s="208"/>
      <c r="CC303" s="208"/>
      <c r="CD303" s="211"/>
    </row>
    <row r="304" ht="18" customHeight="1">
      <c r="A304" s="1234">
        <v>27</v>
      </c>
      <c r="B304" s="1236">
        <f>HLOOKUP($F$21,$M$26:$AP$64,28,-1)</f>
        <v>0</v>
      </c>
      <c r="C304" s="1217"/>
      <c r="D304" s="1217"/>
      <c r="E304" s="1217"/>
      <c r="F304" s="1233">
        <f>ROUND($B304*$F$271,0)</f>
        <v>0</v>
      </c>
      <c r="G304" s="1217"/>
      <c r="H304" s="1217"/>
      <c r="I304" s="1217"/>
      <c r="J304" s="1217"/>
      <c r="K304" s="1233">
        <f>ROUND($B304*$K$20,0)</f>
        <v>0</v>
      </c>
      <c r="L304" s="1220"/>
      <c r="M304" s="1216"/>
      <c r="N304" s="1217"/>
      <c r="O304" s="1221">
        <v>44</v>
      </c>
      <c r="P304" s="1233">
        <v>0</v>
      </c>
      <c r="Q304" s="1233">
        <v>0</v>
      </c>
      <c r="R304" s="1233">
        <v>0</v>
      </c>
      <c r="S304" s="1233">
        <v>0</v>
      </c>
      <c r="T304" s="1233">
        <v>0</v>
      </c>
      <c r="U304" s="1233">
        <v>0</v>
      </c>
      <c r="V304" s="1233">
        <v>0</v>
      </c>
      <c r="W304" s="1233">
        <v>0</v>
      </c>
      <c r="X304" s="1233">
        <v>0</v>
      </c>
      <c r="Y304" s="1233">
        <v>0</v>
      </c>
      <c r="Z304" s="1233">
        <v>0</v>
      </c>
      <c r="AA304" s="1233">
        <v>0</v>
      </c>
      <c r="AB304" s="1233">
        <v>0</v>
      </c>
      <c r="AC304" s="1233">
        <f>$F$56</f>
        <v>0</v>
      </c>
      <c r="AD304" s="1233">
        <f t="shared" si="3348"/>
        <v>0</v>
      </c>
      <c r="AE304" s="1233">
        <f t="shared" si="3317"/>
        <v>0</v>
      </c>
      <c r="AF304" s="1233">
        <f t="shared" si="3811" ref="AF304:AU319">$F$231</f>
        <v>0</v>
      </c>
      <c r="AG304" s="1233">
        <f t="shared" si="3779"/>
        <v>0</v>
      </c>
      <c r="AH304" s="1233">
        <f t="shared" si="3747"/>
        <v>0</v>
      </c>
      <c r="AI304" s="1233">
        <f t="shared" si="3715"/>
        <v>0</v>
      </c>
      <c r="AJ304" s="1233">
        <f t="shared" si="3683"/>
        <v>0</v>
      </c>
      <c r="AK304" s="1233">
        <f t="shared" si="3651"/>
        <v>0</v>
      </c>
      <c r="AL304" s="1233">
        <f t="shared" si="3619"/>
        <v>0</v>
      </c>
      <c r="AM304" s="1233">
        <f t="shared" si="3587"/>
        <v>0</v>
      </c>
      <c r="AN304" s="1233">
        <f t="shared" si="3555"/>
        <v>0</v>
      </c>
      <c r="AO304" s="1233">
        <f t="shared" si="3523"/>
        <v>0</v>
      </c>
      <c r="AP304" s="1233">
        <f t="shared" si="3491"/>
        <v>0</v>
      </c>
      <c r="AQ304" s="1233">
        <f t="shared" si="3459"/>
        <v>0</v>
      </c>
      <c r="AR304" s="1233">
        <f t="shared" si="3427"/>
        <v>0</v>
      </c>
      <c r="AS304" s="1233">
        <f t="shared" si="3395"/>
        <v>0</v>
      </c>
      <c r="AT304" s="1233">
        <f t="shared" si="3364"/>
        <v>0</v>
      </c>
      <c r="AU304" s="1233">
        <f t="shared" si="3333"/>
        <v>0</v>
      </c>
      <c r="AV304" s="1233">
        <f t="shared" si="3827" ref="AV304:BK319">$F$215</f>
        <v>0</v>
      </c>
      <c r="AW304" s="1233">
        <f t="shared" si="3795"/>
        <v>0</v>
      </c>
      <c r="AX304" s="1233">
        <f t="shared" si="3763"/>
        <v>0</v>
      </c>
      <c r="AY304" s="1233">
        <f t="shared" si="3731"/>
        <v>0</v>
      </c>
      <c r="AZ304" s="1233">
        <f t="shared" si="3699"/>
        <v>0</v>
      </c>
      <c r="BA304" s="1233">
        <f t="shared" si="3667"/>
        <v>0</v>
      </c>
      <c r="BB304" s="1233">
        <f t="shared" si="3635"/>
        <v>0</v>
      </c>
      <c r="BC304" s="1233">
        <f t="shared" si="3603"/>
        <v>0</v>
      </c>
      <c r="BD304" s="1233">
        <f t="shared" si="3571"/>
        <v>0</v>
      </c>
      <c r="BE304" s="1233">
        <f t="shared" si="3539"/>
        <v>0</v>
      </c>
      <c r="BF304" s="1233">
        <f t="shared" si="3507"/>
        <v>0</v>
      </c>
      <c r="BG304" s="1221">
        <v>0</v>
      </c>
      <c r="BH304" s="1221">
        <v>0</v>
      </c>
      <c r="BI304" s="1221">
        <v>0</v>
      </c>
      <c r="BJ304" s="1221">
        <v>0</v>
      </c>
      <c r="BK304" s="1221">
        <v>0</v>
      </c>
      <c r="BL304" s="1221">
        <v>0</v>
      </c>
      <c r="BM304" s="1221">
        <v>0</v>
      </c>
      <c r="BN304" s="1221">
        <v>0</v>
      </c>
      <c r="BO304" s="1221">
        <v>0</v>
      </c>
      <c r="BP304" s="1217"/>
      <c r="BQ304" s="1217"/>
      <c r="BR304" s="1217"/>
      <c r="BS304" s="1217"/>
      <c r="BT304" s="1217"/>
      <c r="BU304" s="1217"/>
      <c r="BV304" s="1217"/>
      <c r="BW304" s="1217"/>
      <c r="BX304" s="1217"/>
      <c r="BY304" s="1217"/>
      <c r="BZ304" s="208"/>
      <c r="CA304" s="208"/>
      <c r="CB304" s="208"/>
      <c r="CC304" s="208"/>
      <c r="CD304" s="211"/>
    </row>
    <row r="305" ht="18" customHeight="1">
      <c r="A305" s="1234">
        <v>28</v>
      </c>
      <c r="B305" s="1236">
        <f>HLOOKUP($F$21,$M$26:$AP$64,29,-1)</f>
        <v>0</v>
      </c>
      <c r="C305" s="1217"/>
      <c r="D305" s="1217"/>
      <c r="E305" s="1217"/>
      <c r="F305" s="1233">
        <f>ROUND($B305*$F$271,0)</f>
        <v>0</v>
      </c>
      <c r="G305" s="1217"/>
      <c r="H305" s="1217"/>
      <c r="I305" s="1217"/>
      <c r="J305" s="1217"/>
      <c r="K305" s="1233">
        <f>ROUND($B305*$K$20,0)</f>
        <v>0</v>
      </c>
      <c r="L305" s="1220"/>
      <c r="M305" s="1216"/>
      <c r="N305" s="1217"/>
      <c r="O305" s="1221">
        <v>45</v>
      </c>
      <c r="P305" s="1233">
        <v>0</v>
      </c>
      <c r="Q305" s="1233">
        <v>0</v>
      </c>
      <c r="R305" s="1233">
        <v>0</v>
      </c>
      <c r="S305" s="1233">
        <v>0</v>
      </c>
      <c r="T305" s="1233">
        <v>0</v>
      </c>
      <c r="U305" s="1233">
        <v>0</v>
      </c>
      <c r="V305" s="1233">
        <v>0</v>
      </c>
      <c r="W305" s="1233">
        <v>0</v>
      </c>
      <c r="X305" s="1233">
        <v>0</v>
      </c>
      <c r="Y305" s="1233">
        <v>0</v>
      </c>
      <c r="Z305" s="1233">
        <v>0</v>
      </c>
      <c r="AA305" s="1233">
        <v>0</v>
      </c>
      <c r="AB305" s="1233">
        <v>0</v>
      </c>
      <c r="AC305" s="1233">
        <v>0</v>
      </c>
      <c r="AD305" s="1233">
        <f>$F$56</f>
        <v>0</v>
      </c>
      <c r="AE305" s="1233">
        <f t="shared" si="3348"/>
        <v>0</v>
      </c>
      <c r="AF305" s="1233">
        <f t="shared" si="3843" ref="AF305:AU320">$F$232</f>
        <v>0</v>
      </c>
      <c r="AG305" s="1233">
        <f t="shared" si="3811"/>
        <v>0</v>
      </c>
      <c r="AH305" s="1233">
        <f t="shared" si="3779"/>
        <v>0</v>
      </c>
      <c r="AI305" s="1233">
        <f t="shared" si="3747"/>
        <v>0</v>
      </c>
      <c r="AJ305" s="1233">
        <f t="shared" si="3715"/>
        <v>0</v>
      </c>
      <c r="AK305" s="1233">
        <f t="shared" si="3683"/>
        <v>0</v>
      </c>
      <c r="AL305" s="1233">
        <f t="shared" si="3651"/>
        <v>0</v>
      </c>
      <c r="AM305" s="1233">
        <f t="shared" si="3619"/>
        <v>0</v>
      </c>
      <c r="AN305" s="1233">
        <f t="shared" si="3587"/>
        <v>0</v>
      </c>
      <c r="AO305" s="1233">
        <f t="shared" si="3555"/>
        <v>0</v>
      </c>
      <c r="AP305" s="1233">
        <f t="shared" si="3523"/>
        <v>0</v>
      </c>
      <c r="AQ305" s="1233">
        <f t="shared" si="3491"/>
        <v>0</v>
      </c>
      <c r="AR305" s="1233">
        <f t="shared" si="3459"/>
        <v>0</v>
      </c>
      <c r="AS305" s="1233">
        <f t="shared" si="3427"/>
        <v>0</v>
      </c>
      <c r="AT305" s="1233">
        <f t="shared" si="3395"/>
        <v>0</v>
      </c>
      <c r="AU305" s="1233">
        <f t="shared" si="3364"/>
        <v>0</v>
      </c>
      <c r="AV305" s="1233">
        <f t="shared" si="3859" ref="AV305:BK320">$F$216</f>
        <v>0</v>
      </c>
      <c r="AW305" s="1233">
        <f t="shared" si="3827"/>
        <v>0</v>
      </c>
      <c r="AX305" s="1233">
        <f t="shared" si="3795"/>
        <v>0</v>
      </c>
      <c r="AY305" s="1233">
        <f t="shared" si="3763"/>
        <v>0</v>
      </c>
      <c r="AZ305" s="1233">
        <f t="shared" si="3731"/>
        <v>0</v>
      </c>
      <c r="BA305" s="1233">
        <f t="shared" si="3699"/>
        <v>0</v>
      </c>
      <c r="BB305" s="1233">
        <f t="shared" si="3667"/>
        <v>0</v>
      </c>
      <c r="BC305" s="1233">
        <f t="shared" si="3635"/>
        <v>0</v>
      </c>
      <c r="BD305" s="1233">
        <f t="shared" si="3603"/>
        <v>0</v>
      </c>
      <c r="BE305" s="1233">
        <f t="shared" si="3571"/>
        <v>0</v>
      </c>
      <c r="BF305" s="1233">
        <f t="shared" si="3539"/>
        <v>0</v>
      </c>
      <c r="BG305" s="1233">
        <f t="shared" si="3507"/>
        <v>0</v>
      </c>
      <c r="BH305" s="1221">
        <v>0</v>
      </c>
      <c r="BI305" s="1221">
        <v>0</v>
      </c>
      <c r="BJ305" s="1221">
        <v>0</v>
      </c>
      <c r="BK305" s="1221">
        <v>0</v>
      </c>
      <c r="BL305" s="1221">
        <v>0</v>
      </c>
      <c r="BM305" s="1221">
        <v>0</v>
      </c>
      <c r="BN305" s="1221">
        <v>0</v>
      </c>
      <c r="BO305" s="1221">
        <v>0</v>
      </c>
      <c r="BP305" s="1217"/>
      <c r="BQ305" s="1217"/>
      <c r="BR305" s="1217"/>
      <c r="BS305" s="1217"/>
      <c r="BT305" s="1217"/>
      <c r="BU305" s="1217"/>
      <c r="BV305" s="1217"/>
      <c r="BW305" s="1217"/>
      <c r="BX305" s="1217"/>
      <c r="BY305" s="1217"/>
      <c r="BZ305" s="1217"/>
      <c r="CA305" s="208"/>
      <c r="CB305" s="208"/>
      <c r="CC305" s="208"/>
      <c r="CD305" s="211"/>
    </row>
    <row r="306" ht="18" customHeight="1">
      <c r="A306" s="1234">
        <v>29</v>
      </c>
      <c r="B306" s="1236">
        <f>HLOOKUP($F$21,$M$26:$AP$64,30,-1)</f>
        <v>0</v>
      </c>
      <c r="C306" s="1217"/>
      <c r="D306" s="1217"/>
      <c r="E306" s="1217"/>
      <c r="F306" s="1233">
        <f>ROUND($B306*$F$271,0)</f>
        <v>0</v>
      </c>
      <c r="G306" s="1217"/>
      <c r="H306" s="1217"/>
      <c r="I306" s="1217"/>
      <c r="J306" s="1217"/>
      <c r="K306" s="1233">
        <f>ROUND($B306*$K$20,0)</f>
        <v>0</v>
      </c>
      <c r="L306" s="1220"/>
      <c r="M306" s="1216"/>
      <c r="N306" s="1217"/>
      <c r="O306" s="1221">
        <v>46</v>
      </c>
      <c r="P306" s="1233">
        <v>0</v>
      </c>
      <c r="Q306" s="1233">
        <v>0</v>
      </c>
      <c r="R306" s="1233">
        <v>0</v>
      </c>
      <c r="S306" s="1233">
        <v>0</v>
      </c>
      <c r="T306" s="1233">
        <v>0</v>
      </c>
      <c r="U306" s="1233">
        <v>0</v>
      </c>
      <c r="V306" s="1233">
        <v>0</v>
      </c>
      <c r="W306" s="1233">
        <v>0</v>
      </c>
      <c r="X306" s="1233">
        <v>0</v>
      </c>
      <c r="Y306" s="1233">
        <v>0</v>
      </c>
      <c r="Z306" s="1233">
        <v>0</v>
      </c>
      <c r="AA306" s="1233">
        <v>0</v>
      </c>
      <c r="AB306" s="1233">
        <v>0</v>
      </c>
      <c r="AC306" s="1233">
        <v>0</v>
      </c>
      <c r="AD306" s="1233">
        <v>0</v>
      </c>
      <c r="AE306" s="1233">
        <f>$F$56</f>
        <v>0</v>
      </c>
      <c r="AF306" s="1233">
        <f t="shared" si="3875" ref="AF306:AU321">$F$233</f>
        <v>0</v>
      </c>
      <c r="AG306" s="1233">
        <f t="shared" si="3843"/>
        <v>0</v>
      </c>
      <c r="AH306" s="1233">
        <f t="shared" si="3811"/>
        <v>0</v>
      </c>
      <c r="AI306" s="1233">
        <f t="shared" si="3779"/>
        <v>0</v>
      </c>
      <c r="AJ306" s="1233">
        <f t="shared" si="3747"/>
        <v>0</v>
      </c>
      <c r="AK306" s="1233">
        <f t="shared" si="3715"/>
        <v>0</v>
      </c>
      <c r="AL306" s="1233">
        <f t="shared" si="3683"/>
        <v>0</v>
      </c>
      <c r="AM306" s="1233">
        <f t="shared" si="3651"/>
        <v>0</v>
      </c>
      <c r="AN306" s="1233">
        <f t="shared" si="3619"/>
        <v>0</v>
      </c>
      <c r="AO306" s="1233">
        <f t="shared" si="3587"/>
        <v>0</v>
      </c>
      <c r="AP306" s="1233">
        <f t="shared" si="3555"/>
        <v>0</v>
      </c>
      <c r="AQ306" s="1233">
        <f t="shared" si="3523"/>
        <v>0</v>
      </c>
      <c r="AR306" s="1233">
        <f t="shared" si="3491"/>
        <v>0</v>
      </c>
      <c r="AS306" s="1233">
        <f t="shared" si="3459"/>
        <v>0</v>
      </c>
      <c r="AT306" s="1233">
        <f t="shared" si="3427"/>
        <v>0</v>
      </c>
      <c r="AU306" s="1233">
        <f t="shared" si="3395"/>
        <v>0</v>
      </c>
      <c r="AV306" s="1233">
        <f t="shared" si="3891" ref="AV306:BK321">$F$217</f>
        <v>0</v>
      </c>
      <c r="AW306" s="1233">
        <f t="shared" si="3859"/>
        <v>0</v>
      </c>
      <c r="AX306" s="1233">
        <f t="shared" si="3827"/>
        <v>0</v>
      </c>
      <c r="AY306" s="1233">
        <f t="shared" si="3795"/>
        <v>0</v>
      </c>
      <c r="AZ306" s="1233">
        <f t="shared" si="3763"/>
        <v>0</v>
      </c>
      <c r="BA306" s="1233">
        <f t="shared" si="3731"/>
        <v>0</v>
      </c>
      <c r="BB306" s="1233">
        <f t="shared" si="3699"/>
        <v>0</v>
      </c>
      <c r="BC306" s="1233">
        <f t="shared" si="3667"/>
        <v>0</v>
      </c>
      <c r="BD306" s="1233">
        <f t="shared" si="3635"/>
        <v>0</v>
      </c>
      <c r="BE306" s="1233">
        <f t="shared" si="3603"/>
        <v>0</v>
      </c>
      <c r="BF306" s="1233">
        <f t="shared" si="3571"/>
        <v>0</v>
      </c>
      <c r="BG306" s="1233">
        <f t="shared" si="3539"/>
        <v>0</v>
      </c>
      <c r="BH306" s="1233">
        <f t="shared" si="3507"/>
        <v>0</v>
      </c>
      <c r="BI306" s="1221">
        <v>0</v>
      </c>
      <c r="BJ306" s="1221">
        <v>0</v>
      </c>
      <c r="BK306" s="1221">
        <v>0</v>
      </c>
      <c r="BL306" s="1221">
        <v>0</v>
      </c>
      <c r="BM306" s="1221">
        <v>0</v>
      </c>
      <c r="BN306" s="1221">
        <v>0</v>
      </c>
      <c r="BO306" s="1221">
        <v>0</v>
      </c>
      <c r="BP306" s="1217"/>
      <c r="BQ306" s="1217"/>
      <c r="BR306" s="1217"/>
      <c r="BS306" s="1217"/>
      <c r="BT306" s="1217"/>
      <c r="BU306" s="1217"/>
      <c r="BV306" s="1217"/>
      <c r="BW306" s="1217"/>
      <c r="BX306" s="1217"/>
      <c r="BY306" s="1217"/>
      <c r="BZ306" s="1217"/>
      <c r="CA306" s="208"/>
      <c r="CB306" s="208"/>
      <c r="CC306" s="208"/>
      <c r="CD306" s="211"/>
    </row>
    <row r="307" ht="18" customHeight="1">
      <c r="A307" s="1234">
        <v>30</v>
      </c>
      <c r="B307" s="1236">
        <f>HLOOKUP($F$21,$M$26:$AP$64,31,-1)</f>
        <v>0</v>
      </c>
      <c r="C307" s="1217"/>
      <c r="D307" s="1217"/>
      <c r="E307" s="1217"/>
      <c r="F307" s="1233">
        <f>ROUND($B307*$F$271,0)</f>
        <v>0</v>
      </c>
      <c r="G307" s="1217"/>
      <c r="H307" s="1217"/>
      <c r="I307" s="1217"/>
      <c r="J307" s="1217"/>
      <c r="K307" s="1233">
        <f>ROUND($B307*$K$20,0)</f>
        <v>0</v>
      </c>
      <c r="L307" s="1220"/>
      <c r="M307" s="1216"/>
      <c r="N307" s="1217"/>
      <c r="O307" s="1221">
        <v>47</v>
      </c>
      <c r="P307" s="1233">
        <v>0</v>
      </c>
      <c r="Q307" s="1233">
        <v>0</v>
      </c>
      <c r="R307" s="1233">
        <v>0</v>
      </c>
      <c r="S307" s="1233">
        <v>0</v>
      </c>
      <c r="T307" s="1233">
        <v>0</v>
      </c>
      <c r="U307" s="1233">
        <v>0</v>
      </c>
      <c r="V307" s="1233">
        <v>0</v>
      </c>
      <c r="W307" s="1233">
        <v>0</v>
      </c>
      <c r="X307" s="1233">
        <v>0</v>
      </c>
      <c r="Y307" s="1233">
        <v>0</v>
      </c>
      <c r="Z307" s="1233">
        <v>0</v>
      </c>
      <c r="AA307" s="1233">
        <v>0</v>
      </c>
      <c r="AB307" s="1233">
        <v>0</v>
      </c>
      <c r="AC307" s="1233">
        <v>0</v>
      </c>
      <c r="AD307" s="1233">
        <v>0</v>
      </c>
      <c r="AE307" s="1233">
        <v>0</v>
      </c>
      <c r="AF307" s="1233">
        <f>$F$56</f>
        <v>0</v>
      </c>
      <c r="AG307" s="1233">
        <f t="shared" si="3875"/>
        <v>0</v>
      </c>
      <c r="AH307" s="1233">
        <f t="shared" si="3843"/>
        <v>0</v>
      </c>
      <c r="AI307" s="1233">
        <f t="shared" si="3811"/>
        <v>0</v>
      </c>
      <c r="AJ307" s="1233">
        <f t="shared" si="3779"/>
        <v>0</v>
      </c>
      <c r="AK307" s="1233">
        <f t="shared" si="3747"/>
        <v>0</v>
      </c>
      <c r="AL307" s="1233">
        <f t="shared" si="3715"/>
        <v>0</v>
      </c>
      <c r="AM307" s="1233">
        <f t="shared" si="3683"/>
        <v>0</v>
      </c>
      <c r="AN307" s="1233">
        <f t="shared" si="3651"/>
        <v>0</v>
      </c>
      <c r="AO307" s="1233">
        <f t="shared" si="3619"/>
        <v>0</v>
      </c>
      <c r="AP307" s="1233">
        <f t="shared" si="3587"/>
        <v>0</v>
      </c>
      <c r="AQ307" s="1233">
        <f t="shared" si="3555"/>
        <v>0</v>
      </c>
      <c r="AR307" s="1233">
        <f t="shared" si="3523"/>
        <v>0</v>
      </c>
      <c r="AS307" s="1233">
        <f t="shared" si="3491"/>
        <v>0</v>
      </c>
      <c r="AT307" s="1233">
        <f t="shared" si="3459"/>
        <v>0</v>
      </c>
      <c r="AU307" s="1233">
        <f t="shared" si="3427"/>
        <v>0</v>
      </c>
      <c r="AV307" s="1233">
        <f t="shared" si="3923" ref="AV307:BK322">$F$218</f>
        <v>0</v>
      </c>
      <c r="AW307" s="1233">
        <f t="shared" si="3891"/>
        <v>0</v>
      </c>
      <c r="AX307" s="1233">
        <f t="shared" si="3859"/>
        <v>0</v>
      </c>
      <c r="AY307" s="1233">
        <f t="shared" si="3827"/>
        <v>0</v>
      </c>
      <c r="AZ307" s="1233">
        <f t="shared" si="3795"/>
        <v>0</v>
      </c>
      <c r="BA307" s="1233">
        <f t="shared" si="3763"/>
        <v>0</v>
      </c>
      <c r="BB307" s="1233">
        <f t="shared" si="3731"/>
        <v>0</v>
      </c>
      <c r="BC307" s="1233">
        <f t="shared" si="3699"/>
        <v>0</v>
      </c>
      <c r="BD307" s="1233">
        <f t="shared" si="3667"/>
        <v>0</v>
      </c>
      <c r="BE307" s="1233">
        <f t="shared" si="3635"/>
        <v>0</v>
      </c>
      <c r="BF307" s="1233">
        <f t="shared" si="3603"/>
        <v>0</v>
      </c>
      <c r="BG307" s="1233">
        <f t="shared" si="3571"/>
        <v>0</v>
      </c>
      <c r="BH307" s="1233">
        <f t="shared" si="3539"/>
        <v>0</v>
      </c>
      <c r="BI307" s="1233">
        <f t="shared" si="3507"/>
        <v>0</v>
      </c>
      <c r="BJ307" s="1221">
        <v>0</v>
      </c>
      <c r="BK307" s="1221">
        <v>0</v>
      </c>
      <c r="BL307" s="1221">
        <v>0</v>
      </c>
      <c r="BM307" s="1221">
        <v>0</v>
      </c>
      <c r="BN307" s="1221">
        <v>0</v>
      </c>
      <c r="BO307" s="1221">
        <v>0</v>
      </c>
      <c r="BP307" s="1217"/>
      <c r="BQ307" s="1217"/>
      <c r="BR307" s="1217"/>
      <c r="BS307" s="1217"/>
      <c r="BT307" s="1217"/>
      <c r="BU307" s="1217"/>
      <c r="BV307" s="1217"/>
      <c r="BW307" s="1217"/>
      <c r="BX307" s="1217"/>
      <c r="BY307" s="1217"/>
      <c r="BZ307" s="1217"/>
      <c r="CA307" s="208"/>
      <c r="CB307" s="208"/>
      <c r="CC307" s="208"/>
      <c r="CD307" s="211"/>
    </row>
    <row r="308" ht="18" customHeight="1">
      <c r="A308" s="1231"/>
      <c r="B308" s="1217"/>
      <c r="C308" s="1217"/>
      <c r="D308" s="1217"/>
      <c r="E308" s="1217"/>
      <c r="F308" s="1241"/>
      <c r="G308" s="1217"/>
      <c r="H308" s="1217"/>
      <c r="I308" s="1217"/>
      <c r="J308" s="1217"/>
      <c r="K308" s="1242"/>
      <c r="L308" s="1220"/>
      <c r="M308" s="1278"/>
      <c r="N308" s="708"/>
      <c r="O308" s="1221">
        <v>48</v>
      </c>
      <c r="P308" s="1233">
        <v>0</v>
      </c>
      <c r="Q308" s="1233">
        <v>0</v>
      </c>
      <c r="R308" s="1233">
        <v>0</v>
      </c>
      <c r="S308" s="1233">
        <v>0</v>
      </c>
      <c r="T308" s="1233">
        <v>0</v>
      </c>
      <c r="U308" s="1233">
        <v>0</v>
      </c>
      <c r="V308" s="1233">
        <v>0</v>
      </c>
      <c r="W308" s="1233">
        <v>0</v>
      </c>
      <c r="X308" s="1233">
        <v>0</v>
      </c>
      <c r="Y308" s="1233">
        <v>0</v>
      </c>
      <c r="Z308" s="1233">
        <v>0</v>
      </c>
      <c r="AA308" s="1233">
        <v>0</v>
      </c>
      <c r="AB308" s="1233">
        <v>0</v>
      </c>
      <c r="AC308" s="1233">
        <v>0</v>
      </c>
      <c r="AD308" s="1233">
        <v>0</v>
      </c>
      <c r="AE308" s="1233">
        <v>0</v>
      </c>
      <c r="AF308" s="1233">
        <v>0</v>
      </c>
      <c r="AG308" s="1233">
        <f>$F$56</f>
        <v>0</v>
      </c>
      <c r="AH308" s="1233">
        <f t="shared" si="3875"/>
        <v>0</v>
      </c>
      <c r="AI308" s="1233">
        <f t="shared" si="3843"/>
        <v>0</v>
      </c>
      <c r="AJ308" s="1233">
        <f t="shared" si="3811"/>
        <v>0</v>
      </c>
      <c r="AK308" s="1233">
        <f t="shared" si="3779"/>
        <v>0</v>
      </c>
      <c r="AL308" s="1233">
        <f t="shared" si="3747"/>
        <v>0</v>
      </c>
      <c r="AM308" s="1233">
        <f t="shared" si="3715"/>
        <v>0</v>
      </c>
      <c r="AN308" s="1233">
        <f t="shared" si="3683"/>
        <v>0</v>
      </c>
      <c r="AO308" s="1233">
        <f t="shared" si="3651"/>
        <v>0</v>
      </c>
      <c r="AP308" s="1233">
        <f t="shared" si="3619"/>
        <v>0</v>
      </c>
      <c r="AQ308" s="1233">
        <f t="shared" si="3587"/>
        <v>0</v>
      </c>
      <c r="AR308" s="1233">
        <f t="shared" si="3555"/>
        <v>0</v>
      </c>
      <c r="AS308" s="1233">
        <f t="shared" si="3523"/>
        <v>0</v>
      </c>
      <c r="AT308" s="1233">
        <f t="shared" si="3491"/>
        <v>0</v>
      </c>
      <c r="AU308" s="1233">
        <f t="shared" si="3459"/>
        <v>0</v>
      </c>
      <c r="AV308" s="1233">
        <f t="shared" si="3952" ref="AV308:BK323">$F$219</f>
        <v>0</v>
      </c>
      <c r="AW308" s="1233">
        <f t="shared" si="3923"/>
        <v>0</v>
      </c>
      <c r="AX308" s="1233">
        <f t="shared" si="3891"/>
        <v>0</v>
      </c>
      <c r="AY308" s="1233">
        <f t="shared" si="3859"/>
        <v>0</v>
      </c>
      <c r="AZ308" s="1233">
        <f t="shared" si="3827"/>
        <v>0</v>
      </c>
      <c r="BA308" s="1233">
        <f t="shared" si="3795"/>
        <v>0</v>
      </c>
      <c r="BB308" s="1233">
        <f t="shared" si="3763"/>
        <v>0</v>
      </c>
      <c r="BC308" s="1233">
        <f t="shared" si="3731"/>
        <v>0</v>
      </c>
      <c r="BD308" s="1233">
        <f t="shared" si="3699"/>
        <v>0</v>
      </c>
      <c r="BE308" s="1233">
        <f t="shared" si="3667"/>
        <v>0</v>
      </c>
      <c r="BF308" s="1233">
        <f t="shared" si="3635"/>
        <v>0</v>
      </c>
      <c r="BG308" s="1233">
        <f t="shared" si="3603"/>
        <v>0</v>
      </c>
      <c r="BH308" s="1233">
        <f t="shared" si="3571"/>
        <v>0</v>
      </c>
      <c r="BI308" s="1233">
        <f t="shared" si="3539"/>
        <v>0</v>
      </c>
      <c r="BJ308" s="1233">
        <f t="shared" si="3507"/>
        <v>0</v>
      </c>
      <c r="BK308" s="1221">
        <v>0</v>
      </c>
      <c r="BL308" s="1221">
        <v>0</v>
      </c>
      <c r="BM308" s="1221">
        <v>0</v>
      </c>
      <c r="BN308" s="1221">
        <v>0</v>
      </c>
      <c r="BO308" s="1221">
        <v>0</v>
      </c>
      <c r="BP308" s="1217"/>
      <c r="BQ308" s="1217"/>
      <c r="BR308" s="1217"/>
      <c r="BS308" s="1217"/>
      <c r="BT308" s="1217"/>
      <c r="BU308" s="1217"/>
      <c r="BV308" s="1217"/>
      <c r="BW308" s="1217"/>
      <c r="BX308" s="1217"/>
      <c r="BY308" s="1217"/>
      <c r="BZ308" s="1217"/>
      <c r="CA308" s="208"/>
      <c r="CB308" s="208"/>
      <c r="CC308" s="208"/>
      <c r="CD308" s="211"/>
    </row>
    <row r="309" ht="18" customHeight="1">
      <c r="A309" s="1231"/>
      <c r="B309" s="1236">
        <f>SUM(B278:B307)</f>
        <v>0.9999999999999999</v>
      </c>
      <c r="C309" s="1236"/>
      <c r="D309" s="1236"/>
      <c r="E309" s="1217"/>
      <c r="F309" s="1243">
        <f>SUM(F278:F307)</f>
        <v>0</v>
      </c>
      <c r="G309" s="1217"/>
      <c r="H309" s="1217"/>
      <c r="I309" s="1217"/>
      <c r="J309" s="1217"/>
      <c r="K309" s="1243">
        <f>SUM(K278:K307)</f>
        <v>0</v>
      </c>
      <c r="L309" s="1220"/>
      <c r="M309" s="1278"/>
      <c r="N309" s="708"/>
      <c r="O309" s="1221">
        <v>49</v>
      </c>
      <c r="P309" s="1233">
        <v>0</v>
      </c>
      <c r="Q309" s="1233">
        <v>0</v>
      </c>
      <c r="R309" s="1233">
        <v>0</v>
      </c>
      <c r="S309" s="1233">
        <v>0</v>
      </c>
      <c r="T309" s="1233">
        <v>0</v>
      </c>
      <c r="U309" s="1233">
        <v>0</v>
      </c>
      <c r="V309" s="1233">
        <v>0</v>
      </c>
      <c r="W309" s="1233">
        <v>0</v>
      </c>
      <c r="X309" s="1233">
        <v>0</v>
      </c>
      <c r="Y309" s="1233">
        <v>0</v>
      </c>
      <c r="Z309" s="1233">
        <v>0</v>
      </c>
      <c r="AA309" s="1233">
        <v>0</v>
      </c>
      <c r="AB309" s="1233">
        <v>0</v>
      </c>
      <c r="AC309" s="1233">
        <v>0</v>
      </c>
      <c r="AD309" s="1233">
        <v>0</v>
      </c>
      <c r="AE309" s="1233">
        <v>0</v>
      </c>
      <c r="AF309" s="1233">
        <v>0</v>
      </c>
      <c r="AG309" s="1233">
        <v>0</v>
      </c>
      <c r="AH309" s="1233">
        <f>$F$56</f>
        <v>0</v>
      </c>
      <c r="AI309" s="1233">
        <f t="shared" si="3875"/>
        <v>0</v>
      </c>
      <c r="AJ309" s="1233">
        <f t="shared" si="3843"/>
        <v>0</v>
      </c>
      <c r="AK309" s="1233">
        <f t="shared" si="3811"/>
        <v>0</v>
      </c>
      <c r="AL309" s="1233">
        <f t="shared" si="3779"/>
        <v>0</v>
      </c>
      <c r="AM309" s="1233">
        <f t="shared" si="3747"/>
        <v>0</v>
      </c>
      <c r="AN309" s="1233">
        <f t="shared" si="3715"/>
        <v>0</v>
      </c>
      <c r="AO309" s="1233">
        <f t="shared" si="3683"/>
        <v>0</v>
      </c>
      <c r="AP309" s="1233">
        <f t="shared" si="3651"/>
        <v>0</v>
      </c>
      <c r="AQ309" s="1233">
        <f t="shared" si="3619"/>
        <v>0</v>
      </c>
      <c r="AR309" s="1233">
        <f t="shared" si="3587"/>
        <v>0</v>
      </c>
      <c r="AS309" s="1233">
        <f t="shared" si="3555"/>
        <v>0</v>
      </c>
      <c r="AT309" s="1233">
        <f t="shared" si="3523"/>
        <v>0</v>
      </c>
      <c r="AU309" s="1233">
        <f t="shared" si="3491"/>
        <v>0</v>
      </c>
      <c r="AV309" s="1233">
        <f t="shared" si="3984" ref="AV309:BK324">$F$220</f>
        <v>0</v>
      </c>
      <c r="AW309" s="1233">
        <f t="shared" si="3952"/>
        <v>0</v>
      </c>
      <c r="AX309" s="1233">
        <f t="shared" si="3923"/>
        <v>0</v>
      </c>
      <c r="AY309" s="1233">
        <f t="shared" si="3891"/>
        <v>0</v>
      </c>
      <c r="AZ309" s="1233">
        <f t="shared" si="3859"/>
        <v>0</v>
      </c>
      <c r="BA309" s="1233">
        <f t="shared" si="3827"/>
        <v>0</v>
      </c>
      <c r="BB309" s="1233">
        <f t="shared" si="3795"/>
        <v>0</v>
      </c>
      <c r="BC309" s="1233">
        <f t="shared" si="3763"/>
        <v>0</v>
      </c>
      <c r="BD309" s="1233">
        <f t="shared" si="3731"/>
        <v>0</v>
      </c>
      <c r="BE309" s="1233">
        <f t="shared" si="3699"/>
        <v>0</v>
      </c>
      <c r="BF309" s="1233">
        <f t="shared" si="3667"/>
        <v>0</v>
      </c>
      <c r="BG309" s="1233">
        <f t="shared" si="3635"/>
        <v>0</v>
      </c>
      <c r="BH309" s="1233">
        <f t="shared" si="3603"/>
        <v>0</v>
      </c>
      <c r="BI309" s="1233">
        <f t="shared" si="3571"/>
        <v>0</v>
      </c>
      <c r="BJ309" s="1233">
        <f t="shared" si="3539"/>
        <v>0</v>
      </c>
      <c r="BK309" s="1233">
        <f t="shared" si="3507"/>
        <v>0</v>
      </c>
      <c r="BL309" s="1221">
        <v>0</v>
      </c>
      <c r="BM309" s="1221">
        <v>0</v>
      </c>
      <c r="BN309" s="1221">
        <v>0</v>
      </c>
      <c r="BO309" s="1221">
        <v>0</v>
      </c>
      <c r="BP309" s="1217"/>
      <c r="BQ309" s="1217"/>
      <c r="BR309" s="1217"/>
      <c r="BS309" s="1217"/>
      <c r="BT309" s="1217"/>
      <c r="BU309" s="1217"/>
      <c r="BV309" s="1217"/>
      <c r="BW309" s="1217"/>
      <c r="BX309" s="1217"/>
      <c r="BY309" s="1217"/>
      <c r="BZ309" s="1217"/>
      <c r="CA309" s="208"/>
      <c r="CB309" s="208"/>
      <c r="CC309" s="208"/>
      <c r="CD309" s="211"/>
    </row>
    <row r="310" ht="18" customHeight="1">
      <c r="A310" s="1231"/>
      <c r="B310" s="1236"/>
      <c r="C310" s="1236"/>
      <c r="D310" s="1236"/>
      <c r="E310" s="1217"/>
      <c r="F310" s="1214"/>
      <c r="G310" s="1217"/>
      <c r="H310" s="1217"/>
      <c r="I310" s="1217"/>
      <c r="J310" s="1217"/>
      <c r="K310" s="1245"/>
      <c r="L310" s="1220"/>
      <c r="M310" s="1278"/>
      <c r="N310" s="708"/>
      <c r="O310" s="1221">
        <v>50</v>
      </c>
      <c r="P310" s="1233">
        <v>0</v>
      </c>
      <c r="Q310" s="1233">
        <v>0</v>
      </c>
      <c r="R310" s="1233">
        <v>0</v>
      </c>
      <c r="S310" s="1233">
        <v>0</v>
      </c>
      <c r="T310" s="1233">
        <v>0</v>
      </c>
      <c r="U310" s="1233">
        <v>0</v>
      </c>
      <c r="V310" s="1233">
        <v>0</v>
      </c>
      <c r="W310" s="1233">
        <v>0</v>
      </c>
      <c r="X310" s="1233">
        <v>0</v>
      </c>
      <c r="Y310" s="1233">
        <v>0</v>
      </c>
      <c r="Z310" s="1233">
        <v>0</v>
      </c>
      <c r="AA310" s="1233">
        <v>0</v>
      </c>
      <c r="AB310" s="1233">
        <v>0</v>
      </c>
      <c r="AC310" s="1233">
        <v>0</v>
      </c>
      <c r="AD310" s="1233">
        <v>0</v>
      </c>
      <c r="AE310" s="1233">
        <v>0</v>
      </c>
      <c r="AF310" s="1233">
        <v>0</v>
      </c>
      <c r="AG310" s="1233">
        <v>0</v>
      </c>
      <c r="AH310" s="1233">
        <v>0</v>
      </c>
      <c r="AI310" s="1233">
        <f>$F$56</f>
        <v>0</v>
      </c>
      <c r="AJ310" s="1233">
        <f t="shared" si="3875"/>
        <v>0</v>
      </c>
      <c r="AK310" s="1233">
        <f t="shared" si="3843"/>
        <v>0</v>
      </c>
      <c r="AL310" s="1233">
        <f t="shared" si="3811"/>
        <v>0</v>
      </c>
      <c r="AM310" s="1233">
        <f t="shared" si="3779"/>
        <v>0</v>
      </c>
      <c r="AN310" s="1233">
        <f t="shared" si="3747"/>
        <v>0</v>
      </c>
      <c r="AO310" s="1233">
        <f t="shared" si="3715"/>
        <v>0</v>
      </c>
      <c r="AP310" s="1233">
        <f t="shared" si="3683"/>
        <v>0</v>
      </c>
      <c r="AQ310" s="1233">
        <f t="shared" si="3651"/>
        <v>0</v>
      </c>
      <c r="AR310" s="1233">
        <f t="shared" si="3619"/>
        <v>0</v>
      </c>
      <c r="AS310" s="1233">
        <f t="shared" si="3587"/>
        <v>0</v>
      </c>
      <c r="AT310" s="1233">
        <f t="shared" si="3555"/>
        <v>0</v>
      </c>
      <c r="AU310" s="1233">
        <f t="shared" si="3523"/>
        <v>0</v>
      </c>
      <c r="AV310" s="1233">
        <f t="shared" si="4013" ref="AV310:BK325">$F$221</f>
        <v>0</v>
      </c>
      <c r="AW310" s="1233">
        <f t="shared" si="3984"/>
        <v>0</v>
      </c>
      <c r="AX310" s="1233">
        <f t="shared" si="3952"/>
        <v>0</v>
      </c>
      <c r="AY310" s="1233">
        <f t="shared" si="3923"/>
        <v>0</v>
      </c>
      <c r="AZ310" s="1233">
        <f t="shared" si="3891"/>
        <v>0</v>
      </c>
      <c r="BA310" s="1233">
        <f t="shared" si="3859"/>
        <v>0</v>
      </c>
      <c r="BB310" s="1233">
        <f t="shared" si="3827"/>
        <v>0</v>
      </c>
      <c r="BC310" s="1233">
        <f t="shared" si="3795"/>
        <v>0</v>
      </c>
      <c r="BD310" s="1233">
        <f t="shared" si="3763"/>
        <v>0</v>
      </c>
      <c r="BE310" s="1233">
        <f t="shared" si="3731"/>
        <v>0</v>
      </c>
      <c r="BF310" s="1233">
        <f t="shared" si="3699"/>
        <v>0</v>
      </c>
      <c r="BG310" s="1233">
        <f t="shared" si="3667"/>
        <v>0</v>
      </c>
      <c r="BH310" s="1233">
        <f t="shared" si="3635"/>
        <v>0</v>
      </c>
      <c r="BI310" s="1233">
        <f t="shared" si="3603"/>
        <v>0</v>
      </c>
      <c r="BJ310" s="1233">
        <f t="shared" si="3571"/>
        <v>0</v>
      </c>
      <c r="BK310" s="1233">
        <f t="shared" si="3539"/>
        <v>0</v>
      </c>
      <c r="BL310" s="1233">
        <f t="shared" si="4029" ref="BL310:BZ324">$F$205</f>
        <v>0</v>
      </c>
      <c r="BM310" s="1221">
        <v>0</v>
      </c>
      <c r="BN310" s="1221">
        <v>0</v>
      </c>
      <c r="BO310" s="1221">
        <v>0</v>
      </c>
      <c r="BP310" s="1217"/>
      <c r="BQ310" s="1217"/>
      <c r="BR310" s="1217"/>
      <c r="BS310" s="1217"/>
      <c r="BT310" s="1217"/>
      <c r="BU310" s="1217"/>
      <c r="BV310" s="1217"/>
      <c r="BW310" s="1217"/>
      <c r="BX310" s="1217"/>
      <c r="BY310" s="1217"/>
      <c r="BZ310" s="1217"/>
      <c r="CA310" s="208"/>
      <c r="CB310" s="208"/>
      <c r="CC310" s="208"/>
      <c r="CD310" s="211"/>
    </row>
    <row r="311" ht="18" customHeight="1">
      <c r="A311" s="1216"/>
      <c r="B311" t="s" s="1230">
        <v>1118</v>
      </c>
      <c r="C311" s="1223"/>
      <c r="D311" s="1223"/>
      <c r="E311" s="1217"/>
      <c r="F311" s="1233">
        <f>C221</f>
        <v>0</v>
      </c>
      <c r="G311" s="1217"/>
      <c r="H311" s="1217"/>
      <c r="I311" s="1217"/>
      <c r="J311" s="1217"/>
      <c r="K311" s="1233">
        <f>C222</f>
        <v>0</v>
      </c>
      <c r="L311" s="1220"/>
      <c r="M311" s="1278"/>
      <c r="N311" s="708"/>
      <c r="O311" s="1221">
        <v>51</v>
      </c>
      <c r="P311" s="1233">
        <v>0</v>
      </c>
      <c r="Q311" s="1233">
        <v>0</v>
      </c>
      <c r="R311" s="1233">
        <v>0</v>
      </c>
      <c r="S311" s="1233">
        <v>0</v>
      </c>
      <c r="T311" s="1233">
        <v>0</v>
      </c>
      <c r="U311" s="1233">
        <v>0</v>
      </c>
      <c r="V311" s="1233">
        <v>0</v>
      </c>
      <c r="W311" s="1233">
        <v>0</v>
      </c>
      <c r="X311" s="1233">
        <v>0</v>
      </c>
      <c r="Y311" s="1233">
        <v>0</v>
      </c>
      <c r="Z311" s="1233">
        <v>0</v>
      </c>
      <c r="AA311" s="1233">
        <v>0</v>
      </c>
      <c r="AB311" s="1233">
        <v>0</v>
      </c>
      <c r="AC311" s="1233">
        <v>0</v>
      </c>
      <c r="AD311" s="1233">
        <v>0</v>
      </c>
      <c r="AE311" s="1233">
        <v>0</v>
      </c>
      <c r="AF311" s="1233">
        <v>0</v>
      </c>
      <c r="AG311" s="1233">
        <v>0</v>
      </c>
      <c r="AH311" s="1233">
        <v>0</v>
      </c>
      <c r="AI311" s="1233">
        <v>0</v>
      </c>
      <c r="AJ311" s="1233">
        <f>$F$56</f>
        <v>0</v>
      </c>
      <c r="AK311" s="1233">
        <f t="shared" si="3875"/>
        <v>0</v>
      </c>
      <c r="AL311" s="1233">
        <f t="shared" si="3843"/>
        <v>0</v>
      </c>
      <c r="AM311" s="1233">
        <f t="shared" si="3811"/>
        <v>0</v>
      </c>
      <c r="AN311" s="1233">
        <f t="shared" si="3779"/>
        <v>0</v>
      </c>
      <c r="AO311" s="1233">
        <f t="shared" si="3747"/>
        <v>0</v>
      </c>
      <c r="AP311" s="1233">
        <f t="shared" si="3715"/>
        <v>0</v>
      </c>
      <c r="AQ311" s="1233">
        <f t="shared" si="3683"/>
        <v>0</v>
      </c>
      <c r="AR311" s="1233">
        <f t="shared" si="3651"/>
        <v>0</v>
      </c>
      <c r="AS311" s="1233">
        <f t="shared" si="3619"/>
        <v>0</v>
      </c>
      <c r="AT311" s="1233">
        <f t="shared" si="3587"/>
        <v>0</v>
      </c>
      <c r="AU311" s="1233">
        <f t="shared" si="3555"/>
        <v>0</v>
      </c>
      <c r="AV311" s="1233">
        <f t="shared" si="4044" ref="AV311:BK326">$F$222</f>
        <v>0</v>
      </c>
      <c r="AW311" s="1233">
        <f t="shared" si="4013"/>
        <v>0</v>
      </c>
      <c r="AX311" s="1233">
        <f t="shared" si="3984"/>
        <v>0</v>
      </c>
      <c r="AY311" s="1233">
        <f t="shared" si="3952"/>
        <v>0</v>
      </c>
      <c r="AZ311" s="1233">
        <f t="shared" si="3923"/>
        <v>0</v>
      </c>
      <c r="BA311" s="1233">
        <f t="shared" si="3891"/>
        <v>0</v>
      </c>
      <c r="BB311" s="1233">
        <f t="shared" si="3859"/>
        <v>0</v>
      </c>
      <c r="BC311" s="1233">
        <f t="shared" si="3827"/>
        <v>0</v>
      </c>
      <c r="BD311" s="1233">
        <f t="shared" si="3795"/>
        <v>0</v>
      </c>
      <c r="BE311" s="1233">
        <f t="shared" si="3763"/>
        <v>0</v>
      </c>
      <c r="BF311" s="1233">
        <f t="shared" si="3731"/>
        <v>0</v>
      </c>
      <c r="BG311" s="1233">
        <f t="shared" si="3699"/>
        <v>0</v>
      </c>
      <c r="BH311" s="1233">
        <f t="shared" si="3667"/>
        <v>0</v>
      </c>
      <c r="BI311" s="1233">
        <f t="shared" si="3635"/>
        <v>0</v>
      </c>
      <c r="BJ311" s="1233">
        <f t="shared" si="3603"/>
        <v>0</v>
      </c>
      <c r="BK311" s="1233">
        <f t="shared" si="3571"/>
        <v>0</v>
      </c>
      <c r="BL311" s="1233">
        <f t="shared" si="4060" ref="BL311:BZ325">$F$206</f>
        <v>0</v>
      </c>
      <c r="BM311" s="1233">
        <f t="shared" si="4029"/>
        <v>0</v>
      </c>
      <c r="BN311" s="1221">
        <v>0</v>
      </c>
      <c r="BO311" s="1221">
        <v>0</v>
      </c>
      <c r="BP311" s="1217"/>
      <c r="BQ311" s="1217"/>
      <c r="BR311" s="1217"/>
      <c r="BS311" s="1217"/>
      <c r="BT311" s="1217"/>
      <c r="BU311" s="1217"/>
      <c r="BV311" s="1217"/>
      <c r="BW311" s="1217"/>
      <c r="BX311" s="1217"/>
      <c r="BY311" s="1217"/>
      <c r="BZ311" s="1217"/>
      <c r="CA311" s="208"/>
      <c r="CB311" s="208"/>
      <c r="CC311" s="208"/>
      <c r="CD311" s="211"/>
    </row>
    <row r="312" ht="18" customHeight="1">
      <c r="A312" s="1216"/>
      <c r="B312" s="1217"/>
      <c r="C312" s="1217"/>
      <c r="D312" s="1217"/>
      <c r="E312" s="1217"/>
      <c r="F312" s="1242"/>
      <c r="G312" s="1217"/>
      <c r="H312" s="1217"/>
      <c r="I312" s="1217"/>
      <c r="J312" s="1217"/>
      <c r="K312" s="1241"/>
      <c r="L312" s="1220"/>
      <c r="M312" s="835"/>
      <c r="N312" s="208"/>
      <c r="O312" s="1221">
        <v>52</v>
      </c>
      <c r="P312" s="1233">
        <v>0</v>
      </c>
      <c r="Q312" s="1233">
        <v>0</v>
      </c>
      <c r="R312" s="1233">
        <v>0</v>
      </c>
      <c r="S312" s="1233">
        <v>0</v>
      </c>
      <c r="T312" s="1233">
        <v>0</v>
      </c>
      <c r="U312" s="1233">
        <v>0</v>
      </c>
      <c r="V312" s="1233">
        <v>0</v>
      </c>
      <c r="W312" s="1233">
        <v>0</v>
      </c>
      <c r="X312" s="1233">
        <v>0</v>
      </c>
      <c r="Y312" s="1233">
        <v>0</v>
      </c>
      <c r="Z312" s="1233">
        <v>0</v>
      </c>
      <c r="AA312" s="1233">
        <v>0</v>
      </c>
      <c r="AB312" s="1233">
        <v>0</v>
      </c>
      <c r="AC312" s="1233">
        <v>0</v>
      </c>
      <c r="AD312" s="1233">
        <v>0</v>
      </c>
      <c r="AE312" s="1233">
        <v>0</v>
      </c>
      <c r="AF312" s="1233">
        <v>0</v>
      </c>
      <c r="AG312" s="1233">
        <v>0</v>
      </c>
      <c r="AH312" s="1233">
        <v>0</v>
      </c>
      <c r="AI312" s="1233">
        <v>0</v>
      </c>
      <c r="AJ312" s="1233">
        <v>0</v>
      </c>
      <c r="AK312" s="1233">
        <f>$F$56</f>
        <v>0</v>
      </c>
      <c r="AL312" s="1233">
        <f t="shared" si="3875"/>
        <v>0</v>
      </c>
      <c r="AM312" s="1233">
        <f t="shared" si="3843"/>
        <v>0</v>
      </c>
      <c r="AN312" s="1233">
        <f t="shared" si="3811"/>
        <v>0</v>
      </c>
      <c r="AO312" s="1233">
        <f t="shared" si="3779"/>
        <v>0</v>
      </c>
      <c r="AP312" s="1233">
        <f t="shared" si="3747"/>
        <v>0</v>
      </c>
      <c r="AQ312" s="1233">
        <f t="shared" si="3715"/>
        <v>0</v>
      </c>
      <c r="AR312" s="1233">
        <f t="shared" si="3683"/>
        <v>0</v>
      </c>
      <c r="AS312" s="1233">
        <f t="shared" si="3651"/>
        <v>0</v>
      </c>
      <c r="AT312" s="1233">
        <f t="shared" si="3619"/>
        <v>0</v>
      </c>
      <c r="AU312" s="1233">
        <f t="shared" si="3587"/>
        <v>0</v>
      </c>
      <c r="AV312" s="1233">
        <f t="shared" si="4073" ref="AV312:BK327">$F$223</f>
        <v>0</v>
      </c>
      <c r="AW312" s="1233">
        <f t="shared" si="4044"/>
        <v>0</v>
      </c>
      <c r="AX312" s="1233">
        <f t="shared" si="4013"/>
        <v>0</v>
      </c>
      <c r="AY312" s="1233">
        <f t="shared" si="3984"/>
        <v>0</v>
      </c>
      <c r="AZ312" s="1233">
        <f t="shared" si="3952"/>
        <v>0</v>
      </c>
      <c r="BA312" s="1233">
        <f t="shared" si="3923"/>
        <v>0</v>
      </c>
      <c r="BB312" s="1233">
        <f t="shared" si="3891"/>
        <v>0</v>
      </c>
      <c r="BC312" s="1233">
        <f t="shared" si="3859"/>
        <v>0</v>
      </c>
      <c r="BD312" s="1233">
        <f t="shared" si="3827"/>
        <v>0</v>
      </c>
      <c r="BE312" s="1233">
        <f t="shared" si="3795"/>
        <v>0</v>
      </c>
      <c r="BF312" s="1233">
        <f t="shared" si="3763"/>
        <v>0</v>
      </c>
      <c r="BG312" s="1233">
        <f t="shared" si="3731"/>
        <v>0</v>
      </c>
      <c r="BH312" s="1233">
        <f t="shared" si="3699"/>
        <v>0</v>
      </c>
      <c r="BI312" s="1233">
        <f t="shared" si="3667"/>
        <v>0</v>
      </c>
      <c r="BJ312" s="1233">
        <f t="shared" si="3635"/>
        <v>0</v>
      </c>
      <c r="BK312" s="1233">
        <f t="shared" si="3603"/>
        <v>0</v>
      </c>
      <c r="BL312" s="1233">
        <f t="shared" si="4089" ref="BL312:BZ326">$F$207</f>
        <v>0</v>
      </c>
      <c r="BM312" s="1233">
        <f t="shared" si="4060"/>
        <v>0</v>
      </c>
      <c r="BN312" s="1233">
        <f t="shared" si="4029"/>
        <v>0</v>
      </c>
      <c r="BO312" s="1221">
        <v>0</v>
      </c>
      <c r="BP312" s="1217"/>
      <c r="BQ312" s="1217"/>
      <c r="BR312" s="1217"/>
      <c r="BS312" s="1217"/>
      <c r="BT312" s="1217"/>
      <c r="BU312" s="1217"/>
      <c r="BV312" s="1217"/>
      <c r="BW312" s="1217"/>
      <c r="BX312" s="1217"/>
      <c r="BY312" s="1217"/>
      <c r="BZ312" s="1217"/>
      <c r="CA312" s="208"/>
      <c r="CB312" s="208"/>
      <c r="CC312" s="208"/>
      <c r="CD312" s="211"/>
    </row>
    <row r="313" ht="18" customHeight="1">
      <c r="A313" s="1216"/>
      <c r="B313" t="s" s="1230">
        <v>967</v>
      </c>
      <c r="C313" s="1223"/>
      <c r="D313" s="1223"/>
      <c r="E313" s="1217"/>
      <c r="F313" s="1243">
        <f>SUM(F309:F311)</f>
        <v>0</v>
      </c>
      <c r="G313" s="1217"/>
      <c r="H313" s="1217"/>
      <c r="I313" s="1217"/>
      <c r="J313" s="1217"/>
      <c r="K313" s="1243">
        <f>SUM(K309:K311)</f>
        <v>0</v>
      </c>
      <c r="L313" s="1220"/>
      <c r="M313" s="835"/>
      <c r="N313" s="208"/>
      <c r="O313" s="1221">
        <v>53</v>
      </c>
      <c r="P313" s="1233">
        <v>0</v>
      </c>
      <c r="Q313" s="1233">
        <v>0</v>
      </c>
      <c r="R313" s="1233">
        <v>0</v>
      </c>
      <c r="S313" s="1233">
        <v>0</v>
      </c>
      <c r="T313" s="1233">
        <v>0</v>
      </c>
      <c r="U313" s="1233">
        <v>0</v>
      </c>
      <c r="V313" s="1233">
        <v>0</v>
      </c>
      <c r="W313" s="1233">
        <v>0</v>
      </c>
      <c r="X313" s="1233">
        <v>0</v>
      </c>
      <c r="Y313" s="1233">
        <v>0</v>
      </c>
      <c r="Z313" s="1233">
        <v>0</v>
      </c>
      <c r="AA313" s="1233">
        <v>0</v>
      </c>
      <c r="AB313" s="1233">
        <v>0</v>
      </c>
      <c r="AC313" s="1233">
        <v>0</v>
      </c>
      <c r="AD313" s="1233">
        <v>0</v>
      </c>
      <c r="AE313" s="1233">
        <v>0</v>
      </c>
      <c r="AF313" s="1233">
        <v>0</v>
      </c>
      <c r="AG313" s="1233">
        <v>0</v>
      </c>
      <c r="AH313" s="1233">
        <v>0</v>
      </c>
      <c r="AI313" s="1233">
        <v>0</v>
      </c>
      <c r="AJ313" s="1233">
        <v>0</v>
      </c>
      <c r="AK313" s="1233">
        <f>$F$56</f>
        <v>0</v>
      </c>
      <c r="AL313" s="1233">
        <f>$F$56</f>
        <v>0</v>
      </c>
      <c r="AM313" s="1233">
        <f t="shared" si="3875"/>
        <v>0</v>
      </c>
      <c r="AN313" s="1233">
        <f t="shared" si="3843"/>
        <v>0</v>
      </c>
      <c r="AO313" s="1233">
        <f t="shared" si="3811"/>
        <v>0</v>
      </c>
      <c r="AP313" s="1233">
        <f t="shared" si="3779"/>
        <v>0</v>
      </c>
      <c r="AQ313" s="1233">
        <f t="shared" si="3747"/>
        <v>0</v>
      </c>
      <c r="AR313" s="1233">
        <f t="shared" si="3715"/>
        <v>0</v>
      </c>
      <c r="AS313" s="1233">
        <f t="shared" si="3683"/>
        <v>0</v>
      </c>
      <c r="AT313" s="1233">
        <f t="shared" si="3651"/>
        <v>0</v>
      </c>
      <c r="AU313" s="1233">
        <f t="shared" si="3619"/>
        <v>0</v>
      </c>
      <c r="AV313" s="1233">
        <f t="shared" si="4105" ref="AV313:BK328">$F$224</f>
        <v>0</v>
      </c>
      <c r="AW313" s="1233">
        <f t="shared" si="4073"/>
        <v>0</v>
      </c>
      <c r="AX313" s="1233">
        <f t="shared" si="4044"/>
        <v>0</v>
      </c>
      <c r="AY313" s="1233">
        <f t="shared" si="4013"/>
        <v>0</v>
      </c>
      <c r="AZ313" s="1233">
        <f t="shared" si="3984"/>
        <v>0</v>
      </c>
      <c r="BA313" s="1233">
        <f t="shared" si="3952"/>
        <v>0</v>
      </c>
      <c r="BB313" s="1233">
        <f t="shared" si="3923"/>
        <v>0</v>
      </c>
      <c r="BC313" s="1233">
        <f t="shared" si="3891"/>
        <v>0</v>
      </c>
      <c r="BD313" s="1233">
        <f t="shared" si="3859"/>
        <v>0</v>
      </c>
      <c r="BE313" s="1233">
        <f t="shared" si="3827"/>
        <v>0</v>
      </c>
      <c r="BF313" s="1233">
        <f t="shared" si="3795"/>
        <v>0</v>
      </c>
      <c r="BG313" s="1233">
        <f t="shared" si="3763"/>
        <v>0</v>
      </c>
      <c r="BH313" s="1233">
        <f t="shared" si="3731"/>
        <v>0</v>
      </c>
      <c r="BI313" s="1233">
        <f t="shared" si="3699"/>
        <v>0</v>
      </c>
      <c r="BJ313" s="1233">
        <f t="shared" si="3667"/>
        <v>0</v>
      </c>
      <c r="BK313" s="1233">
        <f t="shared" si="3635"/>
        <v>0</v>
      </c>
      <c r="BL313" s="1233">
        <f t="shared" si="4121" ref="BL313:BZ327">$F$208</f>
        <v>0</v>
      </c>
      <c r="BM313" s="1233">
        <f t="shared" si="4089"/>
        <v>0</v>
      </c>
      <c r="BN313" s="1233">
        <f t="shared" si="4060"/>
        <v>0</v>
      </c>
      <c r="BO313" s="1233">
        <f t="shared" si="4029"/>
        <v>0</v>
      </c>
      <c r="BP313" s="1276">
        <v>0</v>
      </c>
      <c r="BQ313" s="1184"/>
      <c r="BR313" s="1184"/>
      <c r="BS313" s="1184"/>
      <c r="BT313" s="1184"/>
      <c r="BU313" s="1184"/>
      <c r="BV313" s="1184"/>
      <c r="BW313" s="1184"/>
      <c r="BX313" s="1184"/>
      <c r="BY313" s="1184"/>
      <c r="BZ313" s="208"/>
      <c r="CA313" s="208"/>
      <c r="CB313" s="208"/>
      <c r="CC313" s="208"/>
      <c r="CD313" s="211"/>
    </row>
    <row r="314" ht="18" customHeight="1">
      <c r="A314" s="1216"/>
      <c r="B314" s="1217"/>
      <c r="C314" s="1217"/>
      <c r="D314" s="1217"/>
      <c r="E314" s="1217"/>
      <c r="F314" s="1214"/>
      <c r="G314" s="1217"/>
      <c r="H314" s="1217"/>
      <c r="I314" s="1217"/>
      <c r="J314" s="1217"/>
      <c r="K314" s="1214"/>
      <c r="L314" s="1220"/>
      <c r="M314" s="835"/>
      <c r="N314" s="208"/>
      <c r="O314" s="1221">
        <v>54</v>
      </c>
      <c r="P314" s="1233">
        <v>0</v>
      </c>
      <c r="Q314" s="1233">
        <v>0</v>
      </c>
      <c r="R314" s="1233">
        <v>0</v>
      </c>
      <c r="S314" s="1233">
        <v>0</v>
      </c>
      <c r="T314" s="1233">
        <v>0</v>
      </c>
      <c r="U314" s="1233">
        <v>0</v>
      </c>
      <c r="V314" s="1233">
        <v>0</v>
      </c>
      <c r="W314" s="1233">
        <v>0</v>
      </c>
      <c r="X314" s="1233">
        <v>0</v>
      </c>
      <c r="Y314" s="1233">
        <v>0</v>
      </c>
      <c r="Z314" s="1233">
        <v>0</v>
      </c>
      <c r="AA314" s="1233">
        <v>0</v>
      </c>
      <c r="AB314" s="1233">
        <v>0</v>
      </c>
      <c r="AC314" s="1233">
        <v>0</v>
      </c>
      <c r="AD314" s="1233">
        <v>0</v>
      </c>
      <c r="AE314" s="1233">
        <v>0</v>
      </c>
      <c r="AF314" s="1233">
        <v>0</v>
      </c>
      <c r="AG314" s="1233">
        <v>0</v>
      </c>
      <c r="AH314" s="1233">
        <v>0</v>
      </c>
      <c r="AI314" s="1233">
        <v>0</v>
      </c>
      <c r="AJ314" s="1233">
        <v>0</v>
      </c>
      <c r="AK314" s="1233">
        <f>$F$56</f>
        <v>0</v>
      </c>
      <c r="AL314" s="1233">
        <f>$F$56</f>
        <v>0</v>
      </c>
      <c r="AM314" s="1233">
        <f>$F$56</f>
        <v>0</v>
      </c>
      <c r="AN314" s="1233">
        <f t="shared" si="3875"/>
        <v>0</v>
      </c>
      <c r="AO314" s="1233">
        <f t="shared" si="3843"/>
        <v>0</v>
      </c>
      <c r="AP314" s="1233">
        <f t="shared" si="3811"/>
        <v>0</v>
      </c>
      <c r="AQ314" s="1233">
        <f t="shared" si="3779"/>
        <v>0</v>
      </c>
      <c r="AR314" s="1233">
        <f t="shared" si="3747"/>
        <v>0</v>
      </c>
      <c r="AS314" s="1233">
        <f t="shared" si="3715"/>
        <v>0</v>
      </c>
      <c r="AT314" s="1233">
        <f t="shared" si="3683"/>
        <v>0</v>
      </c>
      <c r="AU314" s="1233">
        <f t="shared" si="3651"/>
        <v>0</v>
      </c>
      <c r="AV314" s="1233">
        <f t="shared" si="4136" ref="AV314:BK329">$F$225</f>
        <v>0</v>
      </c>
      <c r="AW314" s="1233">
        <f t="shared" si="4105"/>
        <v>0</v>
      </c>
      <c r="AX314" s="1233">
        <f t="shared" si="4073"/>
        <v>0</v>
      </c>
      <c r="AY314" s="1233">
        <f t="shared" si="4044"/>
        <v>0</v>
      </c>
      <c r="AZ314" s="1233">
        <f t="shared" si="4013"/>
        <v>0</v>
      </c>
      <c r="BA314" s="1233">
        <f t="shared" si="3984"/>
        <v>0</v>
      </c>
      <c r="BB314" s="1233">
        <f t="shared" si="3952"/>
        <v>0</v>
      </c>
      <c r="BC314" s="1233">
        <f t="shared" si="3923"/>
        <v>0</v>
      </c>
      <c r="BD314" s="1233">
        <f t="shared" si="3891"/>
        <v>0</v>
      </c>
      <c r="BE314" s="1233">
        <f t="shared" si="3859"/>
        <v>0</v>
      </c>
      <c r="BF314" s="1233">
        <f t="shared" si="3827"/>
        <v>0</v>
      </c>
      <c r="BG314" s="1233">
        <f t="shared" si="3795"/>
        <v>0</v>
      </c>
      <c r="BH314" s="1233">
        <f t="shared" si="3763"/>
        <v>0</v>
      </c>
      <c r="BI314" s="1233">
        <f t="shared" si="3731"/>
        <v>0</v>
      </c>
      <c r="BJ314" s="1233">
        <f t="shared" si="3699"/>
        <v>0</v>
      </c>
      <c r="BK314" s="1233">
        <f t="shared" si="3667"/>
        <v>0</v>
      </c>
      <c r="BL314" s="1233">
        <f t="shared" si="4152" ref="BL314:BZ328">$F$209</f>
        <v>0</v>
      </c>
      <c r="BM314" s="1233">
        <f t="shared" si="4121"/>
        <v>0</v>
      </c>
      <c r="BN314" s="1233">
        <f t="shared" si="4089"/>
        <v>0</v>
      </c>
      <c r="BO314" s="1233">
        <f t="shared" si="4060"/>
        <v>0</v>
      </c>
      <c r="BP314" s="1233">
        <f t="shared" si="4029"/>
        <v>0</v>
      </c>
      <c r="BQ314" s="1276">
        <v>0</v>
      </c>
      <c r="BR314" s="1184"/>
      <c r="BS314" s="1184"/>
      <c r="BT314" s="1184"/>
      <c r="BU314" s="1184"/>
      <c r="BV314" s="1184"/>
      <c r="BW314" s="1184"/>
      <c r="BX314" s="1184"/>
      <c r="BY314" s="1184"/>
      <c r="BZ314" s="208"/>
      <c r="CA314" s="208"/>
      <c r="CB314" s="208"/>
      <c r="CC314" s="208"/>
      <c r="CD314" s="211"/>
    </row>
    <row r="315" ht="18" customHeight="1">
      <c r="A315" s="1216"/>
      <c r="B315" s="1217"/>
      <c r="C315" s="1217"/>
      <c r="D315" s="1217"/>
      <c r="E315" s="1217"/>
      <c r="F315" s="1217"/>
      <c r="G315" s="1217"/>
      <c r="H315" s="1217"/>
      <c r="I315" s="1217"/>
      <c r="J315" s="1217"/>
      <c r="K315" s="1217"/>
      <c r="L315" s="1220"/>
      <c r="M315" s="835"/>
      <c r="N315" s="208"/>
      <c r="O315" s="1221">
        <v>55</v>
      </c>
      <c r="P315" s="1233">
        <v>0</v>
      </c>
      <c r="Q315" s="1233">
        <v>0</v>
      </c>
      <c r="R315" s="1233">
        <v>0</v>
      </c>
      <c r="S315" s="1233">
        <v>0</v>
      </c>
      <c r="T315" s="1233">
        <v>0</v>
      </c>
      <c r="U315" s="1233">
        <v>0</v>
      </c>
      <c r="V315" s="1233">
        <v>0</v>
      </c>
      <c r="W315" s="1233">
        <v>0</v>
      </c>
      <c r="X315" s="1233">
        <v>0</v>
      </c>
      <c r="Y315" s="1233">
        <v>0</v>
      </c>
      <c r="Z315" s="1233">
        <v>0</v>
      </c>
      <c r="AA315" s="1233">
        <v>0</v>
      </c>
      <c r="AB315" s="1233">
        <v>0</v>
      </c>
      <c r="AC315" s="1233">
        <v>0</v>
      </c>
      <c r="AD315" s="1233">
        <v>0</v>
      </c>
      <c r="AE315" s="1233">
        <v>0</v>
      </c>
      <c r="AF315" s="1233">
        <v>0</v>
      </c>
      <c r="AG315" s="1233">
        <v>0</v>
      </c>
      <c r="AH315" s="1233">
        <v>0</v>
      </c>
      <c r="AI315" s="1233">
        <v>0</v>
      </c>
      <c r="AJ315" s="1233">
        <v>0</v>
      </c>
      <c r="AK315" s="1233">
        <f>$F$56</f>
        <v>0</v>
      </c>
      <c r="AL315" s="1233">
        <f>$F$56</f>
        <v>0</v>
      </c>
      <c r="AM315" s="1233">
        <f>$F$56</f>
        <v>0</v>
      </c>
      <c r="AN315" s="1233">
        <f>$F$56</f>
        <v>0</v>
      </c>
      <c r="AO315" s="1233">
        <f t="shared" si="3875"/>
        <v>0</v>
      </c>
      <c r="AP315" s="1233">
        <f t="shared" si="3843"/>
        <v>0</v>
      </c>
      <c r="AQ315" s="1233">
        <f t="shared" si="3811"/>
        <v>0</v>
      </c>
      <c r="AR315" s="1233">
        <f t="shared" si="3779"/>
        <v>0</v>
      </c>
      <c r="AS315" s="1233">
        <f t="shared" si="3747"/>
        <v>0</v>
      </c>
      <c r="AT315" s="1233">
        <f t="shared" si="3715"/>
        <v>0</v>
      </c>
      <c r="AU315" s="1233">
        <f t="shared" si="3683"/>
        <v>0</v>
      </c>
      <c r="AV315" s="1233">
        <f t="shared" si="4168" ref="AV315:BK330">$F$226</f>
        <v>0</v>
      </c>
      <c r="AW315" s="1233">
        <f t="shared" si="4136"/>
        <v>0</v>
      </c>
      <c r="AX315" s="1233">
        <f t="shared" si="4105"/>
        <v>0</v>
      </c>
      <c r="AY315" s="1233">
        <f t="shared" si="4073"/>
        <v>0</v>
      </c>
      <c r="AZ315" s="1233">
        <f t="shared" si="4044"/>
        <v>0</v>
      </c>
      <c r="BA315" s="1233">
        <f t="shared" si="4013"/>
        <v>0</v>
      </c>
      <c r="BB315" s="1233">
        <f t="shared" si="3984"/>
        <v>0</v>
      </c>
      <c r="BC315" s="1233">
        <f t="shared" si="3952"/>
        <v>0</v>
      </c>
      <c r="BD315" s="1233">
        <f t="shared" si="3923"/>
        <v>0</v>
      </c>
      <c r="BE315" s="1233">
        <f t="shared" si="3891"/>
        <v>0</v>
      </c>
      <c r="BF315" s="1233">
        <f t="shared" si="3859"/>
        <v>0</v>
      </c>
      <c r="BG315" s="1233">
        <f t="shared" si="3827"/>
        <v>0</v>
      </c>
      <c r="BH315" s="1233">
        <f t="shared" si="3795"/>
        <v>0</v>
      </c>
      <c r="BI315" s="1233">
        <f t="shared" si="3763"/>
        <v>0</v>
      </c>
      <c r="BJ315" s="1233">
        <f t="shared" si="3731"/>
        <v>0</v>
      </c>
      <c r="BK315" s="1233">
        <f t="shared" si="3699"/>
        <v>0</v>
      </c>
      <c r="BL315" s="1233">
        <f t="shared" si="4184" ref="BL315:BZ329">$F$210</f>
        <v>0</v>
      </c>
      <c r="BM315" s="1233">
        <f t="shared" si="4152"/>
        <v>0</v>
      </c>
      <c r="BN315" s="1233">
        <f t="shared" si="4121"/>
        <v>0</v>
      </c>
      <c r="BO315" s="1233">
        <f t="shared" si="4089"/>
        <v>0</v>
      </c>
      <c r="BP315" s="1233">
        <f t="shared" si="4060"/>
        <v>0</v>
      </c>
      <c r="BQ315" s="1233">
        <f t="shared" si="4029"/>
        <v>0</v>
      </c>
      <c r="BR315" s="1276">
        <v>0</v>
      </c>
      <c r="BS315" s="1184"/>
      <c r="BT315" s="1184"/>
      <c r="BU315" s="1184"/>
      <c r="BV315" s="1184"/>
      <c r="BW315" s="1184"/>
      <c r="BX315" s="1184"/>
      <c r="BY315" s="1184"/>
      <c r="BZ315" s="208"/>
      <c r="CA315" s="208"/>
      <c r="CB315" s="208"/>
      <c r="CC315" s="208"/>
      <c r="CD315" s="211"/>
    </row>
    <row r="316" ht="18" customHeight="1">
      <c r="A316" s="1216"/>
      <c r="B316" s="1217"/>
      <c r="C316" s="1217"/>
      <c r="D316" s="1217"/>
      <c r="E316" s="1217"/>
      <c r="F316" s="1217"/>
      <c r="G316" s="1217"/>
      <c r="H316" s="1217"/>
      <c r="I316" s="1217"/>
      <c r="J316" s="1217"/>
      <c r="K316" s="1217"/>
      <c r="L316" s="1220"/>
      <c r="M316" s="835"/>
      <c r="N316" s="208"/>
      <c r="O316" s="1221">
        <v>56</v>
      </c>
      <c r="P316" s="1233">
        <v>0</v>
      </c>
      <c r="Q316" s="1233">
        <v>0</v>
      </c>
      <c r="R316" s="1233">
        <v>0</v>
      </c>
      <c r="S316" s="1233">
        <v>0</v>
      </c>
      <c r="T316" s="1233">
        <v>0</v>
      </c>
      <c r="U316" s="1233">
        <v>0</v>
      </c>
      <c r="V316" s="1233">
        <v>0</v>
      </c>
      <c r="W316" s="1233">
        <v>0</v>
      </c>
      <c r="X316" s="1233">
        <v>0</v>
      </c>
      <c r="Y316" s="1233">
        <v>0</v>
      </c>
      <c r="Z316" s="1233">
        <v>0</v>
      </c>
      <c r="AA316" s="1233">
        <v>0</v>
      </c>
      <c r="AB316" s="1233">
        <v>0</v>
      </c>
      <c r="AC316" s="1233">
        <v>0</v>
      </c>
      <c r="AD316" s="1233">
        <v>0</v>
      </c>
      <c r="AE316" s="1233">
        <v>0</v>
      </c>
      <c r="AF316" s="1233">
        <v>0</v>
      </c>
      <c r="AG316" s="1233">
        <v>0</v>
      </c>
      <c r="AH316" s="1233">
        <v>0</v>
      </c>
      <c r="AI316" s="1233">
        <v>0</v>
      </c>
      <c r="AJ316" s="1233">
        <v>0</v>
      </c>
      <c r="AK316" s="1233">
        <f>$F$56</f>
        <v>0</v>
      </c>
      <c r="AL316" s="1233">
        <f>$F$56</f>
        <v>0</v>
      </c>
      <c r="AM316" s="1233">
        <f>$F$56</f>
        <v>0</v>
      </c>
      <c r="AN316" s="1233">
        <f>$F$56</f>
        <v>0</v>
      </c>
      <c r="AO316" s="1233">
        <f>$F$56</f>
        <v>0</v>
      </c>
      <c r="AP316" s="1233">
        <f t="shared" si="3875"/>
        <v>0</v>
      </c>
      <c r="AQ316" s="1233">
        <f t="shared" si="3843"/>
        <v>0</v>
      </c>
      <c r="AR316" s="1233">
        <f t="shared" si="3811"/>
        <v>0</v>
      </c>
      <c r="AS316" s="1233">
        <f t="shared" si="3779"/>
        <v>0</v>
      </c>
      <c r="AT316" s="1233">
        <f t="shared" si="3747"/>
        <v>0</v>
      </c>
      <c r="AU316" s="1233">
        <f t="shared" si="3715"/>
        <v>0</v>
      </c>
      <c r="AV316" s="1233">
        <f t="shared" si="4201" ref="AV316:BK331">$F$227</f>
        <v>0</v>
      </c>
      <c r="AW316" s="1233">
        <f t="shared" si="4168"/>
        <v>0</v>
      </c>
      <c r="AX316" s="1233">
        <f t="shared" si="4136"/>
        <v>0</v>
      </c>
      <c r="AY316" s="1233">
        <f t="shared" si="4105"/>
        <v>0</v>
      </c>
      <c r="AZ316" s="1233">
        <f t="shared" si="4073"/>
        <v>0</v>
      </c>
      <c r="BA316" s="1233">
        <f t="shared" si="4044"/>
        <v>0</v>
      </c>
      <c r="BB316" s="1233">
        <f t="shared" si="4013"/>
        <v>0</v>
      </c>
      <c r="BC316" s="1233">
        <f t="shared" si="3984"/>
        <v>0</v>
      </c>
      <c r="BD316" s="1233">
        <f t="shared" si="3952"/>
        <v>0</v>
      </c>
      <c r="BE316" s="1233">
        <f t="shared" si="3923"/>
        <v>0</v>
      </c>
      <c r="BF316" s="1233">
        <f t="shared" si="3891"/>
        <v>0</v>
      </c>
      <c r="BG316" s="1233">
        <f t="shared" si="3859"/>
        <v>0</v>
      </c>
      <c r="BH316" s="1233">
        <f t="shared" si="3827"/>
        <v>0</v>
      </c>
      <c r="BI316" s="1233">
        <f t="shared" si="3795"/>
        <v>0</v>
      </c>
      <c r="BJ316" s="1233">
        <f t="shared" si="3763"/>
        <v>0</v>
      </c>
      <c r="BK316" s="1233">
        <f t="shared" si="3731"/>
        <v>0</v>
      </c>
      <c r="BL316" s="1233">
        <f t="shared" si="4217" ref="BL316:BZ330">$F$211</f>
        <v>0</v>
      </c>
      <c r="BM316" s="1233">
        <f t="shared" si="4184"/>
        <v>0</v>
      </c>
      <c r="BN316" s="1233">
        <f t="shared" si="4152"/>
        <v>0</v>
      </c>
      <c r="BO316" s="1233">
        <f t="shared" si="4121"/>
        <v>0</v>
      </c>
      <c r="BP316" s="1233">
        <f t="shared" si="4089"/>
        <v>0</v>
      </c>
      <c r="BQ316" s="1233">
        <f t="shared" si="4060"/>
        <v>0</v>
      </c>
      <c r="BR316" s="1233">
        <f t="shared" si="4029"/>
        <v>0</v>
      </c>
      <c r="BS316" s="1276">
        <v>0</v>
      </c>
      <c r="BT316" s="1184"/>
      <c r="BU316" s="1184"/>
      <c r="BV316" s="1184"/>
      <c r="BW316" s="1184"/>
      <c r="BX316" s="1184"/>
      <c r="BY316" s="1184"/>
      <c r="BZ316" s="208"/>
      <c r="CA316" s="208"/>
      <c r="CB316" s="208"/>
      <c r="CC316" s="208"/>
      <c r="CD316" s="211"/>
    </row>
    <row r="317" ht="18" customHeight="1">
      <c r="A317" s="1216"/>
      <c r="B317" s="1217"/>
      <c r="C317" s="1217"/>
      <c r="D317" s="1217"/>
      <c r="E317" s="1217"/>
      <c r="F317" s="1217"/>
      <c r="G317" s="1217"/>
      <c r="H317" s="1217"/>
      <c r="I317" s="1217"/>
      <c r="J317" s="1217"/>
      <c r="K317" s="1217"/>
      <c r="L317" s="1220"/>
      <c r="M317" s="835"/>
      <c r="N317" s="208"/>
      <c r="O317" s="1221">
        <v>57</v>
      </c>
      <c r="P317" s="1233">
        <v>0</v>
      </c>
      <c r="Q317" s="1233">
        <v>0</v>
      </c>
      <c r="R317" s="1233">
        <v>0</v>
      </c>
      <c r="S317" s="1233">
        <v>0</v>
      </c>
      <c r="T317" s="1233">
        <v>0</v>
      </c>
      <c r="U317" s="1233">
        <v>0</v>
      </c>
      <c r="V317" s="1233">
        <v>0</v>
      </c>
      <c r="W317" s="1233">
        <v>0</v>
      </c>
      <c r="X317" s="1233">
        <v>0</v>
      </c>
      <c r="Y317" s="1233">
        <v>0</v>
      </c>
      <c r="Z317" s="1233">
        <v>0</v>
      </c>
      <c r="AA317" s="1233">
        <v>0</v>
      </c>
      <c r="AB317" s="1233">
        <v>0</v>
      </c>
      <c r="AC317" s="1233">
        <v>0</v>
      </c>
      <c r="AD317" s="1233">
        <v>0</v>
      </c>
      <c r="AE317" s="1233">
        <v>0</v>
      </c>
      <c r="AF317" s="1233">
        <v>0</v>
      </c>
      <c r="AG317" s="1233">
        <v>0</v>
      </c>
      <c r="AH317" s="1233">
        <v>0</v>
      </c>
      <c r="AI317" s="1233">
        <v>0</v>
      </c>
      <c r="AJ317" s="1233">
        <v>0</v>
      </c>
      <c r="AK317" s="1233">
        <f>$F$56</f>
        <v>0</v>
      </c>
      <c r="AL317" s="1233">
        <f>$F$56</f>
        <v>0</v>
      </c>
      <c r="AM317" s="1233">
        <f>$F$56</f>
        <v>0</v>
      </c>
      <c r="AN317" s="1233">
        <f>$F$56</f>
        <v>0</v>
      </c>
      <c r="AO317" s="1233">
        <f>$F$56</f>
        <v>0</v>
      </c>
      <c r="AP317" s="1233">
        <f>$F$56</f>
        <v>0</v>
      </c>
      <c r="AQ317" s="1233">
        <f t="shared" si="3875"/>
        <v>0</v>
      </c>
      <c r="AR317" s="1233">
        <f t="shared" si="3843"/>
        <v>0</v>
      </c>
      <c r="AS317" s="1233">
        <f t="shared" si="3811"/>
        <v>0</v>
      </c>
      <c r="AT317" s="1233">
        <f t="shared" si="3779"/>
        <v>0</v>
      </c>
      <c r="AU317" s="1233">
        <f t="shared" si="3747"/>
        <v>0</v>
      </c>
      <c r="AV317" s="1233">
        <f t="shared" si="4235" ref="AV317:BK332">$F$228</f>
        <v>0</v>
      </c>
      <c r="AW317" s="1233">
        <f t="shared" si="4201"/>
        <v>0</v>
      </c>
      <c r="AX317" s="1233">
        <f t="shared" si="4168"/>
        <v>0</v>
      </c>
      <c r="AY317" s="1233">
        <f t="shared" si="4136"/>
        <v>0</v>
      </c>
      <c r="AZ317" s="1233">
        <f t="shared" si="4105"/>
        <v>0</v>
      </c>
      <c r="BA317" s="1233">
        <f t="shared" si="4073"/>
        <v>0</v>
      </c>
      <c r="BB317" s="1233">
        <f t="shared" si="4044"/>
        <v>0</v>
      </c>
      <c r="BC317" s="1233">
        <f t="shared" si="4013"/>
        <v>0</v>
      </c>
      <c r="BD317" s="1233">
        <f t="shared" si="3984"/>
        <v>0</v>
      </c>
      <c r="BE317" s="1233">
        <f t="shared" si="3952"/>
        <v>0</v>
      </c>
      <c r="BF317" s="1233">
        <f t="shared" si="3923"/>
        <v>0</v>
      </c>
      <c r="BG317" s="1233">
        <f t="shared" si="3891"/>
        <v>0</v>
      </c>
      <c r="BH317" s="1233">
        <f t="shared" si="3859"/>
        <v>0</v>
      </c>
      <c r="BI317" s="1233">
        <f t="shared" si="3827"/>
        <v>0</v>
      </c>
      <c r="BJ317" s="1233">
        <f t="shared" si="3795"/>
        <v>0</v>
      </c>
      <c r="BK317" s="1233">
        <f t="shared" si="3763"/>
        <v>0</v>
      </c>
      <c r="BL317" s="1233">
        <f t="shared" si="4251" ref="BL317:BZ331">$F$212</f>
        <v>0</v>
      </c>
      <c r="BM317" s="1233">
        <f t="shared" si="4217"/>
        <v>0</v>
      </c>
      <c r="BN317" s="1233">
        <f t="shared" si="4184"/>
        <v>0</v>
      </c>
      <c r="BO317" s="1233">
        <f t="shared" si="4152"/>
        <v>0</v>
      </c>
      <c r="BP317" s="1233">
        <f t="shared" si="4121"/>
        <v>0</v>
      </c>
      <c r="BQ317" s="1233">
        <f t="shared" si="4089"/>
        <v>0</v>
      </c>
      <c r="BR317" s="1233">
        <f t="shared" si="4060"/>
        <v>0</v>
      </c>
      <c r="BS317" s="1233">
        <f t="shared" si="4029"/>
        <v>0</v>
      </c>
      <c r="BT317" s="1276">
        <v>0</v>
      </c>
      <c r="BU317" s="1184"/>
      <c r="BV317" s="1184"/>
      <c r="BW317" s="1184"/>
      <c r="BX317" s="1184"/>
      <c r="BY317" s="1184"/>
      <c r="BZ317" s="208"/>
      <c r="CA317" s="208"/>
      <c r="CB317" s="208"/>
      <c r="CC317" s="208"/>
      <c r="CD317" s="211"/>
    </row>
    <row r="318" ht="18" customHeight="1">
      <c r="A318" s="1216"/>
      <c r="B318" t="s" s="1246">
        <v>1119</v>
      </c>
      <c r="C318" s="1219"/>
      <c r="D318" s="1219"/>
      <c r="E318" s="1217"/>
      <c r="F318" s="1217"/>
      <c r="G318" s="1217"/>
      <c r="H318" s="1217"/>
      <c r="I318" s="1217"/>
      <c r="J318" s="1217"/>
      <c r="K318" s="1217"/>
      <c r="L318" s="1220"/>
      <c r="M318" s="835"/>
      <c r="N318" s="208"/>
      <c r="O318" s="1221">
        <v>58</v>
      </c>
      <c r="P318" s="1233">
        <v>0</v>
      </c>
      <c r="Q318" s="1233">
        <v>0</v>
      </c>
      <c r="R318" s="1233">
        <v>0</v>
      </c>
      <c r="S318" s="1233">
        <v>0</v>
      </c>
      <c r="T318" s="1233">
        <v>0</v>
      </c>
      <c r="U318" s="1233">
        <v>0</v>
      </c>
      <c r="V318" s="1233">
        <v>0</v>
      </c>
      <c r="W318" s="1233">
        <v>0</v>
      </c>
      <c r="X318" s="1233">
        <v>0</v>
      </c>
      <c r="Y318" s="1233">
        <v>0</v>
      </c>
      <c r="Z318" s="1233">
        <v>0</v>
      </c>
      <c r="AA318" s="1233">
        <v>0</v>
      </c>
      <c r="AB318" s="1233">
        <v>0</v>
      </c>
      <c r="AC318" s="1233">
        <v>0</v>
      </c>
      <c r="AD318" s="1233">
        <v>0</v>
      </c>
      <c r="AE318" s="1233">
        <v>0</v>
      </c>
      <c r="AF318" s="1233">
        <v>0</v>
      </c>
      <c r="AG318" s="1233">
        <v>0</v>
      </c>
      <c r="AH318" s="1233">
        <v>0</v>
      </c>
      <c r="AI318" s="1233">
        <v>0</v>
      </c>
      <c r="AJ318" s="1233">
        <v>0</v>
      </c>
      <c r="AK318" s="1233">
        <f>$F$56</f>
        <v>0</v>
      </c>
      <c r="AL318" s="1233">
        <f>$F$56</f>
        <v>0</v>
      </c>
      <c r="AM318" s="1233">
        <f>$F$56</f>
        <v>0</v>
      </c>
      <c r="AN318" s="1233">
        <f>$F$56</f>
        <v>0</v>
      </c>
      <c r="AO318" s="1233">
        <f>$F$56</f>
        <v>0</v>
      </c>
      <c r="AP318" s="1233">
        <f>$F$56</f>
        <v>0</v>
      </c>
      <c r="AQ318" s="1233">
        <f>$F$56</f>
        <v>0</v>
      </c>
      <c r="AR318" s="1233">
        <f t="shared" si="3875"/>
        <v>0</v>
      </c>
      <c r="AS318" s="1233">
        <f t="shared" si="3843"/>
        <v>0</v>
      </c>
      <c r="AT318" s="1233">
        <f t="shared" si="3811"/>
        <v>0</v>
      </c>
      <c r="AU318" s="1233">
        <f t="shared" si="3779"/>
        <v>0</v>
      </c>
      <c r="AV318" s="1233">
        <f t="shared" si="4270" ref="AV318:BK333">$F$229</f>
        <v>0</v>
      </c>
      <c r="AW318" s="1233">
        <f t="shared" si="4235"/>
        <v>0</v>
      </c>
      <c r="AX318" s="1233">
        <f t="shared" si="4201"/>
        <v>0</v>
      </c>
      <c r="AY318" s="1233">
        <f t="shared" si="4168"/>
        <v>0</v>
      </c>
      <c r="AZ318" s="1233">
        <f t="shared" si="4136"/>
        <v>0</v>
      </c>
      <c r="BA318" s="1233">
        <f t="shared" si="4105"/>
        <v>0</v>
      </c>
      <c r="BB318" s="1233">
        <f t="shared" si="4073"/>
        <v>0</v>
      </c>
      <c r="BC318" s="1233">
        <f t="shared" si="4044"/>
        <v>0</v>
      </c>
      <c r="BD318" s="1233">
        <f t="shared" si="4013"/>
        <v>0</v>
      </c>
      <c r="BE318" s="1233">
        <f t="shared" si="3984"/>
        <v>0</v>
      </c>
      <c r="BF318" s="1233">
        <f t="shared" si="3952"/>
        <v>0</v>
      </c>
      <c r="BG318" s="1233">
        <f t="shared" si="3923"/>
        <v>0</v>
      </c>
      <c r="BH318" s="1233">
        <f t="shared" si="3891"/>
        <v>0</v>
      </c>
      <c r="BI318" s="1233">
        <f t="shared" si="3859"/>
        <v>0</v>
      </c>
      <c r="BJ318" s="1233">
        <f t="shared" si="3827"/>
        <v>0</v>
      </c>
      <c r="BK318" s="1233">
        <f t="shared" si="3795"/>
        <v>0</v>
      </c>
      <c r="BL318" s="1233">
        <f t="shared" si="4286" ref="BL318:BZ332">$F$213</f>
        <v>0</v>
      </c>
      <c r="BM318" s="1233">
        <f t="shared" si="4251"/>
        <v>0</v>
      </c>
      <c r="BN318" s="1233">
        <f t="shared" si="4217"/>
        <v>0</v>
      </c>
      <c r="BO318" s="1233">
        <f t="shared" si="4184"/>
        <v>0</v>
      </c>
      <c r="BP318" s="1233">
        <f t="shared" si="4152"/>
        <v>0</v>
      </c>
      <c r="BQ318" s="1233">
        <f t="shared" si="4121"/>
        <v>0</v>
      </c>
      <c r="BR318" s="1233">
        <f t="shared" si="4089"/>
        <v>0</v>
      </c>
      <c r="BS318" s="1233">
        <f t="shared" si="4060"/>
        <v>0</v>
      </c>
      <c r="BT318" s="1233">
        <f t="shared" si="4029"/>
        <v>0</v>
      </c>
      <c r="BU318" s="1276">
        <v>0</v>
      </c>
      <c r="BV318" s="1184"/>
      <c r="BW318" s="1184"/>
      <c r="BX318" s="1184"/>
      <c r="BY318" s="1184"/>
      <c r="BZ318" s="208"/>
      <c r="CA318" s="208"/>
      <c r="CB318" s="208"/>
      <c r="CC318" s="208"/>
      <c r="CD318" s="211"/>
    </row>
    <row r="319" ht="18" customHeight="1">
      <c r="A319" s="1216"/>
      <c r="B319" s="1217"/>
      <c r="C319" s="1242"/>
      <c r="D319" s="1242"/>
      <c r="E319" s="1242"/>
      <c r="F319" s="1242"/>
      <c r="G319" s="1217"/>
      <c r="H319" s="1217"/>
      <c r="I319" s="1217"/>
      <c r="J319" s="1217"/>
      <c r="K319" s="1242"/>
      <c r="L319" s="1220"/>
      <c r="M319" s="835"/>
      <c r="N319" s="208"/>
      <c r="O319" s="1221">
        <v>59</v>
      </c>
      <c r="P319" s="1233">
        <v>0</v>
      </c>
      <c r="Q319" s="1233">
        <v>0</v>
      </c>
      <c r="R319" s="1233">
        <v>0</v>
      </c>
      <c r="S319" s="1233">
        <v>0</v>
      </c>
      <c r="T319" s="1233">
        <v>0</v>
      </c>
      <c r="U319" s="1233">
        <v>0</v>
      </c>
      <c r="V319" s="1233">
        <v>0</v>
      </c>
      <c r="W319" s="1233">
        <v>0</v>
      </c>
      <c r="X319" s="1233">
        <v>0</v>
      </c>
      <c r="Y319" s="1233">
        <v>0</v>
      </c>
      <c r="Z319" s="1233">
        <v>0</v>
      </c>
      <c r="AA319" s="1233">
        <v>0</v>
      </c>
      <c r="AB319" s="1233">
        <v>0</v>
      </c>
      <c r="AC319" s="1233">
        <v>0</v>
      </c>
      <c r="AD319" s="1233">
        <v>0</v>
      </c>
      <c r="AE319" s="1233">
        <v>0</v>
      </c>
      <c r="AF319" s="1233">
        <v>0</v>
      </c>
      <c r="AG319" s="1233">
        <v>0</v>
      </c>
      <c r="AH319" s="1233">
        <v>0</v>
      </c>
      <c r="AI319" s="1233">
        <v>0</v>
      </c>
      <c r="AJ319" s="1233">
        <v>0</v>
      </c>
      <c r="AK319" s="1233">
        <f>$F$56</f>
        <v>0</v>
      </c>
      <c r="AL319" s="1233">
        <f>$F$56</f>
        <v>0</v>
      </c>
      <c r="AM319" s="1233">
        <f>$F$56</f>
        <v>0</v>
      </c>
      <c r="AN319" s="1233">
        <f>$F$56</f>
        <v>0</v>
      </c>
      <c r="AO319" s="1233">
        <f>$F$56</f>
        <v>0</v>
      </c>
      <c r="AP319" s="1233">
        <f>$F$56</f>
        <v>0</v>
      </c>
      <c r="AQ319" s="1233">
        <f>$F$56</f>
        <v>0</v>
      </c>
      <c r="AR319" s="1233">
        <f>$F$56</f>
        <v>0</v>
      </c>
      <c r="AS319" s="1233">
        <f t="shared" si="3875"/>
        <v>0</v>
      </c>
      <c r="AT319" s="1233">
        <f t="shared" si="3843"/>
        <v>0</v>
      </c>
      <c r="AU319" s="1233">
        <f t="shared" si="3811"/>
        <v>0</v>
      </c>
      <c r="AV319" s="1233">
        <f t="shared" si="4306" ref="AV319:BK334">$F$230</f>
        <v>0</v>
      </c>
      <c r="AW319" s="1233">
        <f t="shared" si="4270"/>
        <v>0</v>
      </c>
      <c r="AX319" s="1233">
        <f t="shared" si="4235"/>
        <v>0</v>
      </c>
      <c r="AY319" s="1233">
        <f t="shared" si="4201"/>
        <v>0</v>
      </c>
      <c r="AZ319" s="1233">
        <f t="shared" si="4168"/>
        <v>0</v>
      </c>
      <c r="BA319" s="1233">
        <f t="shared" si="4136"/>
        <v>0</v>
      </c>
      <c r="BB319" s="1233">
        <f t="shared" si="4105"/>
        <v>0</v>
      </c>
      <c r="BC319" s="1233">
        <f t="shared" si="4073"/>
        <v>0</v>
      </c>
      <c r="BD319" s="1233">
        <f t="shared" si="4044"/>
        <v>0</v>
      </c>
      <c r="BE319" s="1233">
        <f t="shared" si="4013"/>
        <v>0</v>
      </c>
      <c r="BF319" s="1233">
        <f t="shared" si="3984"/>
        <v>0</v>
      </c>
      <c r="BG319" s="1233">
        <f t="shared" si="3952"/>
        <v>0</v>
      </c>
      <c r="BH319" s="1233">
        <f t="shared" si="3923"/>
        <v>0</v>
      </c>
      <c r="BI319" s="1233">
        <f t="shared" si="3891"/>
        <v>0</v>
      </c>
      <c r="BJ319" s="1233">
        <f t="shared" si="3859"/>
        <v>0</v>
      </c>
      <c r="BK319" s="1233">
        <f t="shared" si="3827"/>
        <v>0</v>
      </c>
      <c r="BL319" s="1233">
        <f t="shared" si="4322" ref="BL319:BZ333">$F$214</f>
        <v>0</v>
      </c>
      <c r="BM319" s="1233">
        <f t="shared" si="4286"/>
        <v>0</v>
      </c>
      <c r="BN319" s="1233">
        <f t="shared" si="4251"/>
        <v>0</v>
      </c>
      <c r="BO319" s="1233">
        <f t="shared" si="4217"/>
        <v>0</v>
      </c>
      <c r="BP319" s="1233">
        <f t="shared" si="4184"/>
        <v>0</v>
      </c>
      <c r="BQ319" s="1233">
        <f t="shared" si="4152"/>
        <v>0</v>
      </c>
      <c r="BR319" s="1233">
        <f t="shared" si="4121"/>
        <v>0</v>
      </c>
      <c r="BS319" s="1233">
        <f t="shared" si="4089"/>
        <v>0</v>
      </c>
      <c r="BT319" s="1233">
        <f t="shared" si="4060"/>
        <v>0</v>
      </c>
      <c r="BU319" s="1233">
        <f t="shared" si="4029"/>
        <v>0</v>
      </c>
      <c r="BV319" s="1276">
        <v>0</v>
      </c>
      <c r="BW319" s="1184"/>
      <c r="BX319" s="1184"/>
      <c r="BY319" s="1184"/>
      <c r="BZ319" s="208"/>
      <c r="CA319" s="208"/>
      <c r="CB319" s="208"/>
      <c r="CC319" s="208"/>
      <c r="CD319" s="211"/>
    </row>
    <row r="320" ht="18" customHeight="1">
      <c r="A320" s="1216"/>
      <c r="B320" t="s" s="1247">
        <v>962</v>
      </c>
      <c r="C320" t="s" s="1248">
        <v>1120</v>
      </c>
      <c r="D320" s="1249"/>
      <c r="E320" s="1249"/>
      <c r="F320" s="1250"/>
      <c r="G320" s="1216"/>
      <c r="H320" s="1251"/>
      <c r="I320" s="1251"/>
      <c r="J320" s="1252"/>
      <c r="K320" s="1253"/>
      <c r="L320" t="s" s="1254">
        <v>1121</v>
      </c>
      <c r="M320" s="835"/>
      <c r="N320" s="208"/>
      <c r="O320" s="1221">
        <v>60</v>
      </c>
      <c r="P320" s="1233">
        <v>0</v>
      </c>
      <c r="Q320" s="1233">
        <v>0</v>
      </c>
      <c r="R320" s="1233">
        <v>0</v>
      </c>
      <c r="S320" s="1233">
        <v>0</v>
      </c>
      <c r="T320" s="1233">
        <v>0</v>
      </c>
      <c r="U320" s="1233">
        <v>0</v>
      </c>
      <c r="V320" s="1233">
        <v>0</v>
      </c>
      <c r="W320" s="1233">
        <v>0</v>
      </c>
      <c r="X320" s="1233">
        <v>0</v>
      </c>
      <c r="Y320" s="1233">
        <v>0</v>
      </c>
      <c r="Z320" s="1233">
        <v>0</v>
      </c>
      <c r="AA320" s="1233">
        <v>0</v>
      </c>
      <c r="AB320" s="1233">
        <v>0</v>
      </c>
      <c r="AC320" s="1233">
        <v>0</v>
      </c>
      <c r="AD320" s="1233">
        <v>0</v>
      </c>
      <c r="AE320" s="1233">
        <v>0</v>
      </c>
      <c r="AF320" s="1233">
        <v>0</v>
      </c>
      <c r="AG320" s="1233">
        <v>0</v>
      </c>
      <c r="AH320" s="1233">
        <v>0</v>
      </c>
      <c r="AI320" s="1233">
        <v>0</v>
      </c>
      <c r="AJ320" s="1233">
        <v>0</v>
      </c>
      <c r="AK320" s="1233">
        <f>$F$56</f>
        <v>0</v>
      </c>
      <c r="AL320" s="1233">
        <f>$F$56</f>
        <v>0</v>
      </c>
      <c r="AM320" s="1233">
        <f>$F$56</f>
        <v>0</v>
      </c>
      <c r="AN320" s="1233">
        <f>$F$56</f>
        <v>0</v>
      </c>
      <c r="AO320" s="1233">
        <f>$F$56</f>
        <v>0</v>
      </c>
      <c r="AP320" s="1233">
        <f>$F$56</f>
        <v>0</v>
      </c>
      <c r="AQ320" s="1233">
        <f>$F$56</f>
        <v>0</v>
      </c>
      <c r="AR320" s="1233">
        <f>$F$56</f>
        <v>0</v>
      </c>
      <c r="AS320" s="1233">
        <f>$F$56</f>
        <v>0</v>
      </c>
      <c r="AT320" s="1233">
        <f t="shared" si="3875"/>
        <v>0</v>
      </c>
      <c r="AU320" s="1233">
        <f t="shared" si="3843"/>
        <v>0</v>
      </c>
      <c r="AV320" s="1233">
        <f t="shared" si="4343" ref="AV320:BK335">$F$231</f>
        <v>0</v>
      </c>
      <c r="AW320" s="1233">
        <f t="shared" si="4306"/>
        <v>0</v>
      </c>
      <c r="AX320" s="1233">
        <f t="shared" si="4270"/>
        <v>0</v>
      </c>
      <c r="AY320" s="1233">
        <f t="shared" si="4235"/>
        <v>0</v>
      </c>
      <c r="AZ320" s="1233">
        <f t="shared" si="4201"/>
        <v>0</v>
      </c>
      <c r="BA320" s="1233">
        <f t="shared" si="4168"/>
        <v>0</v>
      </c>
      <c r="BB320" s="1233">
        <f t="shared" si="4136"/>
        <v>0</v>
      </c>
      <c r="BC320" s="1233">
        <f t="shared" si="4105"/>
        <v>0</v>
      </c>
      <c r="BD320" s="1233">
        <f t="shared" si="4073"/>
        <v>0</v>
      </c>
      <c r="BE320" s="1233">
        <f t="shared" si="4044"/>
        <v>0</v>
      </c>
      <c r="BF320" s="1233">
        <f t="shared" si="4013"/>
        <v>0</v>
      </c>
      <c r="BG320" s="1233">
        <f t="shared" si="3984"/>
        <v>0</v>
      </c>
      <c r="BH320" s="1233">
        <f t="shared" si="3952"/>
        <v>0</v>
      </c>
      <c r="BI320" s="1233">
        <f t="shared" si="3923"/>
        <v>0</v>
      </c>
      <c r="BJ320" s="1233">
        <f t="shared" si="3891"/>
        <v>0</v>
      </c>
      <c r="BK320" s="1233">
        <f t="shared" si="3859"/>
        <v>0</v>
      </c>
      <c r="BL320" s="1233">
        <f t="shared" si="4359" ref="BL320:BZ334">$F$215</f>
        <v>0</v>
      </c>
      <c r="BM320" s="1233">
        <f t="shared" si="4322"/>
        <v>0</v>
      </c>
      <c r="BN320" s="1233">
        <f t="shared" si="4286"/>
        <v>0</v>
      </c>
      <c r="BO320" s="1233">
        <f t="shared" si="4251"/>
        <v>0</v>
      </c>
      <c r="BP320" s="1233">
        <f t="shared" si="4217"/>
        <v>0</v>
      </c>
      <c r="BQ320" s="1233">
        <f t="shared" si="4184"/>
        <v>0</v>
      </c>
      <c r="BR320" s="1233">
        <f t="shared" si="4152"/>
        <v>0</v>
      </c>
      <c r="BS320" s="1233">
        <f t="shared" si="4121"/>
        <v>0</v>
      </c>
      <c r="BT320" s="1233">
        <f t="shared" si="4089"/>
        <v>0</v>
      </c>
      <c r="BU320" s="1233">
        <f t="shared" si="4060"/>
        <v>0</v>
      </c>
      <c r="BV320" s="1233">
        <f t="shared" si="4029"/>
        <v>0</v>
      </c>
      <c r="BW320" s="1276">
        <v>0</v>
      </c>
      <c r="BX320" s="1184"/>
      <c r="BY320" s="1184"/>
      <c r="BZ320" s="208"/>
      <c r="CA320" s="208"/>
      <c r="CB320" s="208"/>
      <c r="CC320" s="208"/>
      <c r="CD320" s="211"/>
    </row>
    <row r="321" ht="18" customHeight="1">
      <c r="A321" s="1216"/>
      <c r="B321" s="1217"/>
      <c r="C321" s="1255"/>
      <c r="D321" s="1255"/>
      <c r="E321" s="1255"/>
      <c r="F321" s="1255"/>
      <c r="G321" s="1217"/>
      <c r="H321" s="1217"/>
      <c r="I321" s="1217"/>
      <c r="J321" s="1217"/>
      <c r="K321" s="1255"/>
      <c r="L321" s="1220"/>
      <c r="M321" s="835"/>
      <c r="N321" s="208"/>
      <c r="O321" s="1221">
        <v>61</v>
      </c>
      <c r="P321" s="1233">
        <v>0</v>
      </c>
      <c r="Q321" s="1233">
        <v>0</v>
      </c>
      <c r="R321" s="1233">
        <v>0</v>
      </c>
      <c r="S321" s="1233">
        <v>0</v>
      </c>
      <c r="T321" s="1233">
        <v>0</v>
      </c>
      <c r="U321" s="1233">
        <v>0</v>
      </c>
      <c r="V321" s="1233">
        <v>0</v>
      </c>
      <c r="W321" s="1233">
        <v>0</v>
      </c>
      <c r="X321" s="1233">
        <v>0</v>
      </c>
      <c r="Y321" s="1233">
        <v>0</v>
      </c>
      <c r="Z321" s="1233">
        <v>0</v>
      </c>
      <c r="AA321" s="1233">
        <v>0</v>
      </c>
      <c r="AB321" s="1233">
        <v>0</v>
      </c>
      <c r="AC321" s="1233">
        <v>0</v>
      </c>
      <c r="AD321" s="1233">
        <v>0</v>
      </c>
      <c r="AE321" s="1233">
        <v>0</v>
      </c>
      <c r="AF321" s="1233">
        <v>0</v>
      </c>
      <c r="AG321" s="1233">
        <v>0</v>
      </c>
      <c r="AH321" s="1233">
        <v>0</v>
      </c>
      <c r="AI321" s="1233">
        <v>0</v>
      </c>
      <c r="AJ321" s="1233">
        <v>0</v>
      </c>
      <c r="AK321" s="1233">
        <f>$F$56</f>
        <v>0</v>
      </c>
      <c r="AL321" s="1233">
        <f>$F$56</f>
        <v>0</v>
      </c>
      <c r="AM321" s="1233">
        <f>$F$56</f>
        <v>0</v>
      </c>
      <c r="AN321" s="1233">
        <f>$F$56</f>
        <v>0</v>
      </c>
      <c r="AO321" s="1233">
        <f>$F$56</f>
        <v>0</v>
      </c>
      <c r="AP321" s="1233">
        <f>$F$56</f>
        <v>0</v>
      </c>
      <c r="AQ321" s="1233">
        <f>$F$56</f>
        <v>0</v>
      </c>
      <c r="AR321" s="1233">
        <f>$F$56</f>
        <v>0</v>
      </c>
      <c r="AS321" s="1233">
        <f>$F$56</f>
        <v>0</v>
      </c>
      <c r="AT321" s="1233">
        <f>$F$56</f>
        <v>0</v>
      </c>
      <c r="AU321" s="1233">
        <f t="shared" si="3875"/>
        <v>0</v>
      </c>
      <c r="AV321" s="1233">
        <f t="shared" si="4381" ref="AV321:BK336">$F$232</f>
        <v>0</v>
      </c>
      <c r="AW321" s="1233">
        <f t="shared" si="4343"/>
        <v>0</v>
      </c>
      <c r="AX321" s="1233">
        <f t="shared" si="4306"/>
        <v>0</v>
      </c>
      <c r="AY321" s="1233">
        <f t="shared" si="4270"/>
        <v>0</v>
      </c>
      <c r="AZ321" s="1233">
        <f t="shared" si="4235"/>
        <v>0</v>
      </c>
      <c r="BA321" s="1233">
        <f t="shared" si="4201"/>
        <v>0</v>
      </c>
      <c r="BB321" s="1233">
        <f t="shared" si="4168"/>
        <v>0</v>
      </c>
      <c r="BC321" s="1233">
        <f t="shared" si="4136"/>
        <v>0</v>
      </c>
      <c r="BD321" s="1233">
        <f t="shared" si="4105"/>
        <v>0</v>
      </c>
      <c r="BE321" s="1233">
        <f t="shared" si="4073"/>
        <v>0</v>
      </c>
      <c r="BF321" s="1233">
        <f t="shared" si="4044"/>
        <v>0</v>
      </c>
      <c r="BG321" s="1233">
        <f t="shared" si="4013"/>
        <v>0</v>
      </c>
      <c r="BH321" s="1233">
        <f t="shared" si="3984"/>
        <v>0</v>
      </c>
      <c r="BI321" s="1233">
        <f t="shared" si="3952"/>
        <v>0</v>
      </c>
      <c r="BJ321" s="1233">
        <f t="shared" si="3923"/>
        <v>0</v>
      </c>
      <c r="BK321" s="1233">
        <f t="shared" si="3891"/>
        <v>0</v>
      </c>
      <c r="BL321" s="1233">
        <f t="shared" si="4397" ref="BL321:BZ335">$F$216</f>
        <v>0</v>
      </c>
      <c r="BM321" s="1233">
        <f t="shared" si="4359"/>
        <v>0</v>
      </c>
      <c r="BN321" s="1233">
        <f t="shared" si="4322"/>
        <v>0</v>
      </c>
      <c r="BO321" s="1233">
        <f t="shared" si="4286"/>
        <v>0</v>
      </c>
      <c r="BP321" s="1233">
        <f t="shared" si="4251"/>
        <v>0</v>
      </c>
      <c r="BQ321" s="1233">
        <f t="shared" si="4217"/>
        <v>0</v>
      </c>
      <c r="BR321" s="1233">
        <f t="shared" si="4184"/>
        <v>0</v>
      </c>
      <c r="BS321" s="1233">
        <f t="shared" si="4152"/>
        <v>0</v>
      </c>
      <c r="BT321" s="1233">
        <f t="shared" si="4121"/>
        <v>0</v>
      </c>
      <c r="BU321" s="1233">
        <f t="shared" si="4089"/>
        <v>0</v>
      </c>
      <c r="BV321" s="1233">
        <f t="shared" si="4060"/>
        <v>0</v>
      </c>
      <c r="BW321" s="1233">
        <f t="shared" si="4029"/>
        <v>0</v>
      </c>
      <c r="BX321" s="1276">
        <v>0</v>
      </c>
      <c r="BY321" s="1184"/>
      <c r="BZ321" s="208"/>
      <c r="CA321" s="208"/>
      <c r="CB321" s="208"/>
      <c r="CC321" s="208"/>
      <c r="CD321" s="211"/>
    </row>
    <row r="322" ht="18" customHeight="1">
      <c r="A322" s="1216"/>
      <c r="B322" t="s" s="1247">
        <v>964</v>
      </c>
      <c r="C322" t="s" s="1248">
        <v>928</v>
      </c>
      <c r="D322" s="1249"/>
      <c r="E322" s="1249"/>
      <c r="F322" s="1250"/>
      <c r="G322" s="1216"/>
      <c r="H322" s="1217"/>
      <c r="I322" s="1217"/>
      <c r="J322" s="1220"/>
      <c r="K322" s="1253"/>
      <c r="L322" t="s" s="1254">
        <v>1121</v>
      </c>
      <c r="M322" s="835"/>
      <c r="N322" s="208"/>
      <c r="O322" s="1221">
        <v>62</v>
      </c>
      <c r="P322" s="1233">
        <v>0</v>
      </c>
      <c r="Q322" s="1233">
        <v>0</v>
      </c>
      <c r="R322" s="1233">
        <v>0</v>
      </c>
      <c r="S322" s="1233">
        <v>0</v>
      </c>
      <c r="T322" s="1233">
        <v>0</v>
      </c>
      <c r="U322" s="1233">
        <v>0</v>
      </c>
      <c r="V322" s="1233">
        <v>0</v>
      </c>
      <c r="W322" s="1233">
        <v>0</v>
      </c>
      <c r="X322" s="1233">
        <v>0</v>
      </c>
      <c r="Y322" s="1233">
        <v>0</v>
      </c>
      <c r="Z322" s="1233">
        <v>0</v>
      </c>
      <c r="AA322" s="1233">
        <v>0</v>
      </c>
      <c r="AB322" s="1233">
        <v>0</v>
      </c>
      <c r="AC322" s="1233">
        <v>0</v>
      </c>
      <c r="AD322" s="1233">
        <v>0</v>
      </c>
      <c r="AE322" s="1233">
        <v>0</v>
      </c>
      <c r="AF322" s="1233">
        <v>0</v>
      </c>
      <c r="AG322" s="1233">
        <v>0</v>
      </c>
      <c r="AH322" s="1233">
        <v>0</v>
      </c>
      <c r="AI322" s="1233">
        <v>0</v>
      </c>
      <c r="AJ322" s="1233">
        <v>0</v>
      </c>
      <c r="AK322" s="1233">
        <f>$F$56</f>
        <v>0</v>
      </c>
      <c r="AL322" s="1233">
        <f>$F$56</f>
        <v>0</v>
      </c>
      <c r="AM322" s="1233">
        <f>$F$56</f>
        <v>0</v>
      </c>
      <c r="AN322" s="1233">
        <f>$F$56</f>
        <v>0</v>
      </c>
      <c r="AO322" s="1233">
        <f>$F$56</f>
        <v>0</v>
      </c>
      <c r="AP322" s="1233">
        <f>$F$56</f>
        <v>0</v>
      </c>
      <c r="AQ322" s="1233">
        <f>$F$56</f>
        <v>0</v>
      </c>
      <c r="AR322" s="1233">
        <f>$F$56</f>
        <v>0</v>
      </c>
      <c r="AS322" s="1233">
        <f>$F$56</f>
        <v>0</v>
      </c>
      <c r="AT322" s="1233">
        <f>$F$56</f>
        <v>0</v>
      </c>
      <c r="AU322" s="1233">
        <f>$F$56</f>
        <v>0</v>
      </c>
      <c r="AV322" s="1233">
        <f t="shared" si="4420" ref="AV322:BK337">$F$233</f>
        <v>0</v>
      </c>
      <c r="AW322" s="1233">
        <f t="shared" si="4381"/>
        <v>0</v>
      </c>
      <c r="AX322" s="1233">
        <f t="shared" si="4343"/>
        <v>0</v>
      </c>
      <c r="AY322" s="1233">
        <f t="shared" si="4306"/>
        <v>0</v>
      </c>
      <c r="AZ322" s="1233">
        <f t="shared" si="4270"/>
        <v>0</v>
      </c>
      <c r="BA322" s="1233">
        <f t="shared" si="4235"/>
        <v>0</v>
      </c>
      <c r="BB322" s="1233">
        <f t="shared" si="4201"/>
        <v>0</v>
      </c>
      <c r="BC322" s="1233">
        <f t="shared" si="4168"/>
        <v>0</v>
      </c>
      <c r="BD322" s="1233">
        <f t="shared" si="4136"/>
        <v>0</v>
      </c>
      <c r="BE322" s="1233">
        <f t="shared" si="4105"/>
        <v>0</v>
      </c>
      <c r="BF322" s="1233">
        <f t="shared" si="4073"/>
        <v>0</v>
      </c>
      <c r="BG322" s="1233">
        <f t="shared" si="4044"/>
        <v>0</v>
      </c>
      <c r="BH322" s="1233">
        <f t="shared" si="4013"/>
        <v>0</v>
      </c>
      <c r="BI322" s="1233">
        <f t="shared" si="3984"/>
        <v>0</v>
      </c>
      <c r="BJ322" s="1233">
        <f t="shared" si="3952"/>
        <v>0</v>
      </c>
      <c r="BK322" s="1233">
        <f t="shared" si="3923"/>
        <v>0</v>
      </c>
      <c r="BL322" s="1233">
        <f t="shared" si="4436" ref="BL322:BZ336">$F$217</f>
        <v>0</v>
      </c>
      <c r="BM322" s="1233">
        <f t="shared" si="4397"/>
        <v>0</v>
      </c>
      <c r="BN322" s="1233">
        <f t="shared" si="4359"/>
        <v>0</v>
      </c>
      <c r="BO322" s="1233">
        <f t="shared" si="4322"/>
        <v>0</v>
      </c>
      <c r="BP322" s="1233">
        <f t="shared" si="4286"/>
        <v>0</v>
      </c>
      <c r="BQ322" s="1233">
        <f t="shared" si="4251"/>
        <v>0</v>
      </c>
      <c r="BR322" s="1233">
        <f t="shared" si="4217"/>
        <v>0</v>
      </c>
      <c r="BS322" s="1233">
        <f t="shared" si="4184"/>
        <v>0</v>
      </c>
      <c r="BT322" s="1233">
        <f t="shared" si="4152"/>
        <v>0</v>
      </c>
      <c r="BU322" s="1233">
        <f t="shared" si="4121"/>
        <v>0</v>
      </c>
      <c r="BV322" s="1233">
        <f t="shared" si="4089"/>
        <v>0</v>
      </c>
      <c r="BW322" s="1233">
        <f t="shared" si="4060"/>
        <v>0</v>
      </c>
      <c r="BX322" s="1233">
        <f t="shared" si="4029"/>
        <v>0</v>
      </c>
      <c r="BY322" s="1276">
        <v>0</v>
      </c>
      <c r="BZ322" s="208"/>
      <c r="CA322" s="208"/>
      <c r="CB322" s="208"/>
      <c r="CC322" s="208"/>
      <c r="CD322" s="211"/>
    </row>
    <row r="323" ht="18" customHeight="1">
      <c r="A323" s="1216"/>
      <c r="B323" s="1217"/>
      <c r="C323" s="1214"/>
      <c r="D323" s="1214"/>
      <c r="E323" s="1214"/>
      <c r="F323" s="1255"/>
      <c r="G323" s="1217"/>
      <c r="H323" s="1217"/>
      <c r="I323" s="1217"/>
      <c r="J323" s="1217"/>
      <c r="K323" s="1214"/>
      <c r="L323" s="1220"/>
      <c r="M323" s="835"/>
      <c r="N323" s="208"/>
      <c r="O323" s="1221">
        <v>63</v>
      </c>
      <c r="P323" s="1233">
        <v>0</v>
      </c>
      <c r="Q323" s="1233">
        <v>0</v>
      </c>
      <c r="R323" s="1233">
        <v>0</v>
      </c>
      <c r="S323" s="1233">
        <v>0</v>
      </c>
      <c r="T323" s="1233">
        <v>0</v>
      </c>
      <c r="U323" s="1233">
        <v>0</v>
      </c>
      <c r="V323" s="1233">
        <v>0</v>
      </c>
      <c r="W323" s="1233">
        <v>0</v>
      </c>
      <c r="X323" s="1233">
        <v>0</v>
      </c>
      <c r="Y323" s="1233">
        <v>0</v>
      </c>
      <c r="Z323" s="1233">
        <v>0</v>
      </c>
      <c r="AA323" s="1233">
        <v>0</v>
      </c>
      <c r="AB323" s="1233">
        <v>0</v>
      </c>
      <c r="AC323" s="1233">
        <v>0</v>
      </c>
      <c r="AD323" s="1233">
        <v>0</v>
      </c>
      <c r="AE323" s="1233">
        <v>0</v>
      </c>
      <c r="AF323" s="1233">
        <v>0</v>
      </c>
      <c r="AG323" s="1233">
        <v>0</v>
      </c>
      <c r="AH323" s="1233">
        <v>0</v>
      </c>
      <c r="AI323" s="1233">
        <v>0</v>
      </c>
      <c r="AJ323" s="1233">
        <v>0</v>
      </c>
      <c r="AK323" s="1233">
        <f>$F$56</f>
        <v>0</v>
      </c>
      <c r="AL323" s="1233">
        <f>$F$56</f>
        <v>0</v>
      </c>
      <c r="AM323" s="1233">
        <f>$F$56</f>
        <v>0</v>
      </c>
      <c r="AN323" s="1233">
        <f>$F$56</f>
        <v>0</v>
      </c>
      <c r="AO323" s="1233">
        <f>$F$56</f>
        <v>0</v>
      </c>
      <c r="AP323" s="1233">
        <f>$F$56</f>
        <v>0</v>
      </c>
      <c r="AQ323" s="1233">
        <f>$F$56</f>
        <v>0</v>
      </c>
      <c r="AR323" s="1233">
        <f>$F$56</f>
        <v>0</v>
      </c>
      <c r="AS323" s="1233">
        <f>$F$56</f>
        <v>0</v>
      </c>
      <c r="AT323" s="1233">
        <f>$F$56</f>
        <v>0</v>
      </c>
      <c r="AU323" s="1233">
        <f>$F$56</f>
        <v>0</v>
      </c>
      <c r="AV323" s="1233">
        <f>$F$56</f>
        <v>0</v>
      </c>
      <c r="AW323" s="1233">
        <f t="shared" si="4420"/>
        <v>0</v>
      </c>
      <c r="AX323" s="1233">
        <f t="shared" si="4381"/>
        <v>0</v>
      </c>
      <c r="AY323" s="1233">
        <f t="shared" si="4343"/>
        <v>0</v>
      </c>
      <c r="AZ323" s="1233">
        <f t="shared" si="4306"/>
        <v>0</v>
      </c>
      <c r="BA323" s="1233">
        <f t="shared" si="4270"/>
        <v>0</v>
      </c>
      <c r="BB323" s="1233">
        <f t="shared" si="4235"/>
        <v>0</v>
      </c>
      <c r="BC323" s="1233">
        <f t="shared" si="4201"/>
        <v>0</v>
      </c>
      <c r="BD323" s="1233">
        <f t="shared" si="4168"/>
        <v>0</v>
      </c>
      <c r="BE323" s="1233">
        <f t="shared" si="4136"/>
        <v>0</v>
      </c>
      <c r="BF323" s="1233">
        <f t="shared" si="4105"/>
        <v>0</v>
      </c>
      <c r="BG323" s="1233">
        <f t="shared" si="4073"/>
        <v>0</v>
      </c>
      <c r="BH323" s="1233">
        <f t="shared" si="4044"/>
        <v>0</v>
      </c>
      <c r="BI323" s="1233">
        <f t="shared" si="4013"/>
        <v>0</v>
      </c>
      <c r="BJ323" s="1233">
        <f t="shared" si="3984"/>
        <v>0</v>
      </c>
      <c r="BK323" s="1233">
        <f t="shared" si="3952"/>
        <v>0</v>
      </c>
      <c r="BL323" s="1233">
        <f t="shared" si="4476" ref="BL323:BZ337">$F$218</f>
        <v>0</v>
      </c>
      <c r="BM323" s="1233">
        <f t="shared" si="4436"/>
        <v>0</v>
      </c>
      <c r="BN323" s="1233">
        <f t="shared" si="4397"/>
        <v>0</v>
      </c>
      <c r="BO323" s="1233">
        <f t="shared" si="4359"/>
        <v>0</v>
      </c>
      <c r="BP323" s="1233">
        <f t="shared" si="4322"/>
        <v>0</v>
      </c>
      <c r="BQ323" s="1233">
        <f t="shared" si="4286"/>
        <v>0</v>
      </c>
      <c r="BR323" s="1233">
        <f t="shared" si="4251"/>
        <v>0</v>
      </c>
      <c r="BS323" s="1233">
        <f t="shared" si="4217"/>
        <v>0</v>
      </c>
      <c r="BT323" s="1233">
        <f t="shared" si="4184"/>
        <v>0</v>
      </c>
      <c r="BU323" s="1233">
        <f t="shared" si="4152"/>
        <v>0</v>
      </c>
      <c r="BV323" s="1233">
        <f t="shared" si="4121"/>
        <v>0</v>
      </c>
      <c r="BW323" s="1233">
        <f t="shared" si="4089"/>
        <v>0</v>
      </c>
      <c r="BX323" s="1233">
        <f t="shared" si="4060"/>
        <v>0</v>
      </c>
      <c r="BY323" s="1233">
        <f t="shared" si="4029"/>
        <v>0</v>
      </c>
      <c r="BZ323" s="1275">
        <v>0</v>
      </c>
      <c r="CA323" s="208"/>
      <c r="CB323" s="208"/>
      <c r="CC323" s="208"/>
      <c r="CD323" s="211"/>
    </row>
    <row r="324" ht="18" customHeight="1">
      <c r="A324" s="1216"/>
      <c r="B324" t="s" s="1256">
        <v>1122</v>
      </c>
      <c r="C324" t="s" s="1221">
        <v>1123</v>
      </c>
      <c r="D324" s="1217"/>
      <c r="E324" t="s" s="1247">
        <v>1124</v>
      </c>
      <c r="F324" s="1257"/>
      <c r="G324" s="1258">
        <f>D324*F324</f>
        <v>0</v>
      </c>
      <c r="H324" s="1259"/>
      <c r="I324" s="1259"/>
      <c r="J324" s="1217"/>
      <c r="K324" s="1217"/>
      <c r="L324" s="1220"/>
      <c r="M324" s="835"/>
      <c r="N324" s="208"/>
      <c r="O324" s="208"/>
      <c r="P324" s="208"/>
      <c r="Q324" s="208"/>
      <c r="R324" s="208"/>
      <c r="S324" s="208"/>
      <c r="T324" s="208"/>
      <c r="U324" s="208"/>
      <c r="V324" s="208"/>
      <c r="W324" s="208"/>
      <c r="X324" s="208"/>
      <c r="Y324" s="208"/>
      <c r="Z324" s="208"/>
      <c r="AA324" s="208"/>
      <c r="AB324" s="1233"/>
      <c r="AC324" s="1233"/>
      <c r="AD324" s="1233"/>
      <c r="AE324" s="1233"/>
      <c r="AF324" s="1233"/>
      <c r="AG324" s="1233"/>
      <c r="AH324" s="1233"/>
      <c r="AI324" s="1233"/>
      <c r="AJ324" s="1233"/>
      <c r="AK324" s="1233"/>
      <c r="AL324" s="1233">
        <f>$F$56</f>
        <v>0</v>
      </c>
      <c r="AM324" s="1233">
        <f>$F$56</f>
        <v>0</v>
      </c>
      <c r="AN324" s="1233">
        <f>$F$56</f>
        <v>0</v>
      </c>
      <c r="AO324" s="1233">
        <f>$F$56</f>
        <v>0</v>
      </c>
      <c r="AP324" s="1233">
        <f>$F$56</f>
        <v>0</v>
      </c>
      <c r="AQ324" s="1233">
        <f>$F$56</f>
        <v>0</v>
      </c>
      <c r="AR324" s="1233">
        <f>$F$56</f>
        <v>0</v>
      </c>
      <c r="AS324" s="1233">
        <f>$F$56</f>
        <v>0</v>
      </c>
      <c r="AT324" s="1233">
        <f>$F$56</f>
        <v>0</v>
      </c>
      <c r="AU324" s="1233">
        <f>$F$56</f>
        <v>0</v>
      </c>
      <c r="AV324" s="1233">
        <f>$F$56</f>
        <v>0</v>
      </c>
      <c r="AW324" s="1233">
        <f>$F$56</f>
        <v>0</v>
      </c>
      <c r="AX324" s="1233">
        <f t="shared" si="4420"/>
        <v>0</v>
      </c>
      <c r="AY324" s="1233">
        <f t="shared" si="4381"/>
        <v>0</v>
      </c>
      <c r="AZ324" s="1233">
        <f t="shared" si="4343"/>
        <v>0</v>
      </c>
      <c r="BA324" s="1233">
        <f t="shared" si="4306"/>
        <v>0</v>
      </c>
      <c r="BB324" s="1233">
        <f t="shared" si="4270"/>
        <v>0</v>
      </c>
      <c r="BC324" s="1233">
        <f t="shared" si="4235"/>
        <v>0</v>
      </c>
      <c r="BD324" s="1233">
        <f t="shared" si="4201"/>
        <v>0</v>
      </c>
      <c r="BE324" s="1233">
        <f t="shared" si="4168"/>
        <v>0</v>
      </c>
      <c r="BF324" s="1233">
        <f t="shared" si="4136"/>
        <v>0</v>
      </c>
      <c r="BG324" s="1233">
        <f t="shared" si="4105"/>
        <v>0</v>
      </c>
      <c r="BH324" s="1233">
        <f t="shared" si="4073"/>
        <v>0</v>
      </c>
      <c r="BI324" s="1233">
        <f t="shared" si="4044"/>
        <v>0</v>
      </c>
      <c r="BJ324" s="1233">
        <f t="shared" si="4013"/>
        <v>0</v>
      </c>
      <c r="BK324" s="1233">
        <f t="shared" si="3984"/>
        <v>0</v>
      </c>
      <c r="BL324" s="1233">
        <f t="shared" si="4517" ref="BL324:BZ338">$F$219</f>
        <v>0</v>
      </c>
      <c r="BM324" s="1233">
        <f t="shared" si="4476"/>
        <v>0</v>
      </c>
      <c r="BN324" s="1233">
        <f t="shared" si="4436"/>
        <v>0</v>
      </c>
      <c r="BO324" s="1233">
        <f t="shared" si="4397"/>
        <v>0</v>
      </c>
      <c r="BP324" s="1233">
        <f t="shared" si="4359"/>
        <v>0</v>
      </c>
      <c r="BQ324" s="1233">
        <f t="shared" si="4322"/>
        <v>0</v>
      </c>
      <c r="BR324" s="1233">
        <f t="shared" si="4286"/>
        <v>0</v>
      </c>
      <c r="BS324" s="1233">
        <f t="shared" si="4251"/>
        <v>0</v>
      </c>
      <c r="BT324" s="1233">
        <f t="shared" si="4217"/>
        <v>0</v>
      </c>
      <c r="BU324" s="1233">
        <f t="shared" si="4184"/>
        <v>0</v>
      </c>
      <c r="BV324" s="1233">
        <f t="shared" si="4152"/>
        <v>0</v>
      </c>
      <c r="BW324" s="1233">
        <f t="shared" si="4121"/>
        <v>0</v>
      </c>
      <c r="BX324" s="1233">
        <f t="shared" si="4089"/>
        <v>0</v>
      </c>
      <c r="BY324" s="1233">
        <f t="shared" si="4060"/>
        <v>0</v>
      </c>
      <c r="BZ324" s="1233">
        <f t="shared" si="4029"/>
        <v>0</v>
      </c>
      <c r="CA324" s="208"/>
      <c r="CB324" s="208"/>
      <c r="CC324" s="208"/>
      <c r="CD324" s="211"/>
    </row>
    <row r="325" ht="18" customHeight="1">
      <c r="A325" s="1216"/>
      <c r="B325" s="1217"/>
      <c r="C325" t="s" s="1221">
        <v>1125</v>
      </c>
      <c r="D325" s="1217"/>
      <c r="E325" t="s" s="1247">
        <v>1124</v>
      </c>
      <c r="F325" s="1257"/>
      <c r="G325" s="1258">
        <f>D325*F325</f>
        <v>0</v>
      </c>
      <c r="H325" s="1259"/>
      <c r="I325" s="1259"/>
      <c r="J325" s="1217"/>
      <c r="K325" s="1217"/>
      <c r="L325" s="1220"/>
      <c r="M325" s="835"/>
      <c r="N325" s="208"/>
      <c r="O325" s="208"/>
      <c r="P325" s="208"/>
      <c r="Q325" s="208"/>
      <c r="R325" s="208"/>
      <c r="S325" s="208"/>
      <c r="T325" s="208"/>
      <c r="U325" s="208"/>
      <c r="V325" s="208"/>
      <c r="W325" s="208"/>
      <c r="X325" s="208"/>
      <c r="Y325" s="208"/>
      <c r="Z325" s="208"/>
      <c r="AA325" s="208"/>
      <c r="AB325" s="208"/>
      <c r="AC325" s="1233"/>
      <c r="AD325" s="1233"/>
      <c r="AE325" s="1233"/>
      <c r="AF325" s="1233"/>
      <c r="AG325" s="1233"/>
      <c r="AH325" s="1233"/>
      <c r="AI325" s="1233"/>
      <c r="AJ325" s="1233"/>
      <c r="AK325" s="1233"/>
      <c r="AL325" s="1233"/>
      <c r="AM325" s="1233">
        <f>$F$56</f>
        <v>0</v>
      </c>
      <c r="AN325" s="1233">
        <f>$F$56</f>
        <v>0</v>
      </c>
      <c r="AO325" s="1233">
        <f>$F$56</f>
        <v>0</v>
      </c>
      <c r="AP325" s="1233">
        <f>$F$56</f>
        <v>0</v>
      </c>
      <c r="AQ325" s="1233">
        <f>$F$56</f>
        <v>0</v>
      </c>
      <c r="AR325" s="1233">
        <f>$F$56</f>
        <v>0</v>
      </c>
      <c r="AS325" s="1233">
        <f>$F$56</f>
        <v>0</v>
      </c>
      <c r="AT325" s="1233">
        <f>$F$56</f>
        <v>0</v>
      </c>
      <c r="AU325" s="1233">
        <f>$F$56</f>
        <v>0</v>
      </c>
      <c r="AV325" s="1233">
        <f>$F$56</f>
        <v>0</v>
      </c>
      <c r="AW325" s="1233">
        <f>$F$56</f>
        <v>0</v>
      </c>
      <c r="AX325" s="1233">
        <f>$F$56</f>
        <v>0</v>
      </c>
      <c r="AY325" s="1233">
        <f t="shared" si="4420"/>
        <v>0</v>
      </c>
      <c r="AZ325" s="1233">
        <f t="shared" si="4381"/>
        <v>0</v>
      </c>
      <c r="BA325" s="1233">
        <f t="shared" si="4343"/>
        <v>0</v>
      </c>
      <c r="BB325" s="1233">
        <f t="shared" si="4306"/>
        <v>0</v>
      </c>
      <c r="BC325" s="1233">
        <f t="shared" si="4270"/>
        <v>0</v>
      </c>
      <c r="BD325" s="1233">
        <f t="shared" si="4235"/>
        <v>0</v>
      </c>
      <c r="BE325" s="1233">
        <f t="shared" si="4201"/>
        <v>0</v>
      </c>
      <c r="BF325" s="1233">
        <f t="shared" si="4168"/>
        <v>0</v>
      </c>
      <c r="BG325" s="1233">
        <f t="shared" si="4136"/>
        <v>0</v>
      </c>
      <c r="BH325" s="1233">
        <f t="shared" si="4105"/>
        <v>0</v>
      </c>
      <c r="BI325" s="1233">
        <f t="shared" si="4073"/>
        <v>0</v>
      </c>
      <c r="BJ325" s="1233">
        <f t="shared" si="4044"/>
        <v>0</v>
      </c>
      <c r="BK325" s="1233">
        <f t="shared" si="4013"/>
        <v>0</v>
      </c>
      <c r="BL325" s="1233">
        <f t="shared" si="4558" ref="BL325:BZ339">$F$220</f>
        <v>0</v>
      </c>
      <c r="BM325" s="1233">
        <f t="shared" si="4517"/>
        <v>0</v>
      </c>
      <c r="BN325" s="1233">
        <f t="shared" si="4476"/>
        <v>0</v>
      </c>
      <c r="BO325" s="1233">
        <f t="shared" si="4436"/>
        <v>0</v>
      </c>
      <c r="BP325" s="1233">
        <f t="shared" si="4397"/>
        <v>0</v>
      </c>
      <c r="BQ325" s="1233">
        <f t="shared" si="4359"/>
        <v>0</v>
      </c>
      <c r="BR325" s="1233">
        <f t="shared" si="4322"/>
        <v>0</v>
      </c>
      <c r="BS325" s="1233">
        <f t="shared" si="4286"/>
        <v>0</v>
      </c>
      <c r="BT325" s="1233">
        <f t="shared" si="4251"/>
        <v>0</v>
      </c>
      <c r="BU325" s="1233">
        <f t="shared" si="4217"/>
        <v>0</v>
      </c>
      <c r="BV325" s="1233">
        <f t="shared" si="4184"/>
        <v>0</v>
      </c>
      <c r="BW325" s="1233">
        <f t="shared" si="4152"/>
        <v>0</v>
      </c>
      <c r="BX325" s="1233">
        <f t="shared" si="4121"/>
        <v>0</v>
      </c>
      <c r="BY325" s="1233">
        <f t="shared" si="4089"/>
        <v>0</v>
      </c>
      <c r="BZ325" s="1233">
        <f t="shared" si="4060"/>
        <v>0</v>
      </c>
      <c r="CA325" s="208"/>
      <c r="CB325" s="208"/>
      <c r="CC325" s="208"/>
      <c r="CD325" s="211"/>
    </row>
    <row r="326" ht="18" customHeight="1">
      <c r="A326" s="1216"/>
      <c r="B326" s="1217"/>
      <c r="C326" t="s" s="1221">
        <v>1123</v>
      </c>
      <c r="D326" s="1217"/>
      <c r="E326" t="s" s="1247">
        <v>1124</v>
      </c>
      <c r="F326" s="1257"/>
      <c r="G326" s="1258">
        <f>D326*F326</f>
        <v>0</v>
      </c>
      <c r="H326" s="1259"/>
      <c r="I326" s="1259"/>
      <c r="J326" s="1217"/>
      <c r="K326" s="1217"/>
      <c r="L326" s="1220"/>
      <c r="M326" s="835"/>
      <c r="N326" s="208"/>
      <c r="O326" s="208"/>
      <c r="P326" s="208"/>
      <c r="Q326" s="208"/>
      <c r="R326" s="208"/>
      <c r="S326" s="208"/>
      <c r="T326" s="208"/>
      <c r="U326" s="208"/>
      <c r="V326" s="208"/>
      <c r="W326" s="208"/>
      <c r="X326" s="208"/>
      <c r="Y326" s="208"/>
      <c r="Z326" s="208"/>
      <c r="AA326" s="208"/>
      <c r="AB326" s="208"/>
      <c r="AC326" s="208"/>
      <c r="AD326" s="1233"/>
      <c r="AE326" s="1233"/>
      <c r="AF326" s="1233"/>
      <c r="AG326" s="1233"/>
      <c r="AH326" s="1233"/>
      <c r="AI326" s="1233"/>
      <c r="AJ326" s="1233"/>
      <c r="AK326" s="1233"/>
      <c r="AL326" s="1233"/>
      <c r="AM326" s="1233"/>
      <c r="AN326" s="1233">
        <f>$F$56</f>
        <v>0</v>
      </c>
      <c r="AO326" s="1233">
        <f>$F$56</f>
        <v>0</v>
      </c>
      <c r="AP326" s="1233">
        <f>$F$56</f>
        <v>0</v>
      </c>
      <c r="AQ326" s="1233">
        <f>$F$56</f>
        <v>0</v>
      </c>
      <c r="AR326" s="1233">
        <f>$F$56</f>
        <v>0</v>
      </c>
      <c r="AS326" s="1233">
        <f>$F$56</f>
        <v>0</v>
      </c>
      <c r="AT326" s="1233">
        <f>$F$56</f>
        <v>0</v>
      </c>
      <c r="AU326" s="1233">
        <f>$F$56</f>
        <v>0</v>
      </c>
      <c r="AV326" s="1233">
        <f>$F$56</f>
        <v>0</v>
      </c>
      <c r="AW326" s="1233">
        <f>$F$56</f>
        <v>0</v>
      </c>
      <c r="AX326" s="1233">
        <f>$F$56</f>
        <v>0</v>
      </c>
      <c r="AY326" s="1233">
        <f>$F$56</f>
        <v>0</v>
      </c>
      <c r="AZ326" s="1233">
        <f t="shared" si="4420"/>
        <v>0</v>
      </c>
      <c r="BA326" s="1233">
        <f t="shared" si="4381"/>
        <v>0</v>
      </c>
      <c r="BB326" s="1233">
        <f t="shared" si="4343"/>
        <v>0</v>
      </c>
      <c r="BC326" s="1233">
        <f t="shared" si="4306"/>
        <v>0</v>
      </c>
      <c r="BD326" s="1233">
        <f t="shared" si="4270"/>
        <v>0</v>
      </c>
      <c r="BE326" s="1233">
        <f t="shared" si="4235"/>
        <v>0</v>
      </c>
      <c r="BF326" s="1233">
        <f t="shared" si="4201"/>
        <v>0</v>
      </c>
      <c r="BG326" s="1233">
        <f t="shared" si="4168"/>
        <v>0</v>
      </c>
      <c r="BH326" s="1233">
        <f t="shared" si="4136"/>
        <v>0</v>
      </c>
      <c r="BI326" s="1233">
        <f t="shared" si="4105"/>
        <v>0</v>
      </c>
      <c r="BJ326" s="1233">
        <f t="shared" si="4073"/>
        <v>0</v>
      </c>
      <c r="BK326" s="1233">
        <f t="shared" si="4044"/>
        <v>0</v>
      </c>
      <c r="BL326" s="1233">
        <f t="shared" si="4598" ref="BL326:BZ340">$F$221</f>
        <v>0</v>
      </c>
      <c r="BM326" s="1233">
        <f t="shared" si="4558"/>
        <v>0</v>
      </c>
      <c r="BN326" s="1233">
        <f t="shared" si="4517"/>
        <v>0</v>
      </c>
      <c r="BO326" s="1233">
        <f t="shared" si="4476"/>
        <v>0</v>
      </c>
      <c r="BP326" s="1233">
        <f t="shared" si="4436"/>
        <v>0</v>
      </c>
      <c r="BQ326" s="1233">
        <f t="shared" si="4397"/>
        <v>0</v>
      </c>
      <c r="BR326" s="1233">
        <f t="shared" si="4359"/>
        <v>0</v>
      </c>
      <c r="BS326" s="1233">
        <f t="shared" si="4322"/>
        <v>0</v>
      </c>
      <c r="BT326" s="1233">
        <f t="shared" si="4286"/>
        <v>0</v>
      </c>
      <c r="BU326" s="1233">
        <f t="shared" si="4251"/>
        <v>0</v>
      </c>
      <c r="BV326" s="1233">
        <f t="shared" si="4217"/>
        <v>0</v>
      </c>
      <c r="BW326" s="1233">
        <f t="shared" si="4184"/>
        <v>0</v>
      </c>
      <c r="BX326" s="1233">
        <f t="shared" si="4152"/>
        <v>0</v>
      </c>
      <c r="BY326" s="1233">
        <f t="shared" si="4121"/>
        <v>0</v>
      </c>
      <c r="BZ326" s="1233">
        <f t="shared" si="4089"/>
        <v>0</v>
      </c>
      <c r="CA326" s="208"/>
      <c r="CB326" s="208"/>
      <c r="CC326" s="208"/>
      <c r="CD326" s="211"/>
    </row>
    <row r="327" ht="18" customHeight="1">
      <c r="A327" s="1216"/>
      <c r="B327" s="1217"/>
      <c r="C327" t="s" s="1221">
        <v>1126</v>
      </c>
      <c r="D327" s="1217"/>
      <c r="E327" t="s" s="1247">
        <v>1124</v>
      </c>
      <c r="F327" s="1257"/>
      <c r="G327" s="1258">
        <f>D327*F327</f>
        <v>0</v>
      </c>
      <c r="H327" s="1260"/>
      <c r="I327" s="1260"/>
      <c r="J327" s="1217"/>
      <c r="K327" s="1217"/>
      <c r="L327" s="1220"/>
      <c r="M327" s="835"/>
      <c r="N327" s="208"/>
      <c r="O327" s="208"/>
      <c r="P327" s="208"/>
      <c r="Q327" s="208"/>
      <c r="R327" s="208"/>
      <c r="S327" s="208"/>
      <c r="T327" s="208"/>
      <c r="U327" s="208"/>
      <c r="V327" s="208"/>
      <c r="W327" s="208"/>
      <c r="X327" s="208"/>
      <c r="Y327" s="208"/>
      <c r="Z327" s="208"/>
      <c r="AA327" s="208"/>
      <c r="AB327" s="208"/>
      <c r="AC327" s="208"/>
      <c r="AD327" s="208"/>
      <c r="AE327" s="1233"/>
      <c r="AF327" s="1233"/>
      <c r="AG327" s="1233"/>
      <c r="AH327" s="1233"/>
      <c r="AI327" s="1233"/>
      <c r="AJ327" s="1233"/>
      <c r="AK327" s="1233"/>
      <c r="AL327" s="1233"/>
      <c r="AM327" s="1233"/>
      <c r="AN327" s="1233"/>
      <c r="AO327" s="1233">
        <f>$F$56</f>
        <v>0</v>
      </c>
      <c r="AP327" s="1233">
        <f>$F$56</f>
        <v>0</v>
      </c>
      <c r="AQ327" s="1233">
        <f>$F$56</f>
        <v>0</v>
      </c>
      <c r="AR327" s="1233">
        <f>$F$56</f>
        <v>0</v>
      </c>
      <c r="AS327" s="1233">
        <f>$F$56</f>
        <v>0</v>
      </c>
      <c r="AT327" s="1233">
        <f>$F$56</f>
        <v>0</v>
      </c>
      <c r="AU327" s="1233">
        <f>$F$56</f>
        <v>0</v>
      </c>
      <c r="AV327" s="1233">
        <f>$F$56</f>
        <v>0</v>
      </c>
      <c r="AW327" s="1233">
        <f>$F$56</f>
        <v>0</v>
      </c>
      <c r="AX327" s="1233">
        <f>$F$56</f>
        <v>0</v>
      </c>
      <c r="AY327" s="1233">
        <f>$F$56</f>
        <v>0</v>
      </c>
      <c r="AZ327" s="1233">
        <f>$F$56</f>
        <v>0</v>
      </c>
      <c r="BA327" s="1233">
        <f t="shared" si="4420"/>
        <v>0</v>
      </c>
      <c r="BB327" s="1233">
        <f t="shared" si="4381"/>
        <v>0</v>
      </c>
      <c r="BC327" s="1233">
        <f t="shared" si="4343"/>
        <v>0</v>
      </c>
      <c r="BD327" s="1233">
        <f t="shared" si="4306"/>
        <v>0</v>
      </c>
      <c r="BE327" s="1233">
        <f t="shared" si="4270"/>
        <v>0</v>
      </c>
      <c r="BF327" s="1233">
        <f t="shared" si="4235"/>
        <v>0</v>
      </c>
      <c r="BG327" s="1233">
        <f t="shared" si="4201"/>
        <v>0</v>
      </c>
      <c r="BH327" s="1233">
        <f t="shared" si="4168"/>
        <v>0</v>
      </c>
      <c r="BI327" s="1233">
        <f t="shared" si="4136"/>
        <v>0</v>
      </c>
      <c r="BJ327" s="1233">
        <f t="shared" si="4105"/>
        <v>0</v>
      </c>
      <c r="BK327" s="1233">
        <f t="shared" si="4073"/>
        <v>0</v>
      </c>
      <c r="BL327" s="1233">
        <f t="shared" si="4637" ref="BL327:BZ341">$F$222</f>
        <v>0</v>
      </c>
      <c r="BM327" s="1233">
        <f t="shared" si="4598"/>
        <v>0</v>
      </c>
      <c r="BN327" s="1233">
        <f t="shared" si="4558"/>
        <v>0</v>
      </c>
      <c r="BO327" s="1233">
        <f t="shared" si="4517"/>
        <v>0</v>
      </c>
      <c r="BP327" s="1233">
        <f t="shared" si="4476"/>
        <v>0</v>
      </c>
      <c r="BQ327" s="1233">
        <f t="shared" si="4436"/>
        <v>0</v>
      </c>
      <c r="BR327" s="1233">
        <f t="shared" si="4397"/>
        <v>0</v>
      </c>
      <c r="BS327" s="1233">
        <f t="shared" si="4359"/>
        <v>0</v>
      </c>
      <c r="BT327" s="1233">
        <f t="shared" si="4322"/>
        <v>0</v>
      </c>
      <c r="BU327" s="1233">
        <f t="shared" si="4286"/>
        <v>0</v>
      </c>
      <c r="BV327" s="1233">
        <f t="shared" si="4251"/>
        <v>0</v>
      </c>
      <c r="BW327" s="1233">
        <f t="shared" si="4217"/>
        <v>0</v>
      </c>
      <c r="BX327" s="1233">
        <f t="shared" si="4184"/>
        <v>0</v>
      </c>
      <c r="BY327" s="1233">
        <f t="shared" si="4152"/>
        <v>0</v>
      </c>
      <c r="BZ327" s="1233">
        <f t="shared" si="4121"/>
        <v>0</v>
      </c>
      <c r="CA327" s="208"/>
      <c r="CB327" s="208"/>
      <c r="CC327" s="208"/>
      <c r="CD327" s="211"/>
    </row>
    <row r="328" ht="18" customHeight="1">
      <c r="A328" s="1216"/>
      <c r="B328" s="1217"/>
      <c r="C328" t="s" s="1221">
        <v>1123</v>
      </c>
      <c r="D328" s="1217"/>
      <c r="E328" t="s" s="1247">
        <v>1124</v>
      </c>
      <c r="F328" s="1257"/>
      <c r="G328" s="1258">
        <f>D328*F328</f>
        <v>0</v>
      </c>
      <c r="H328" s="708"/>
      <c r="I328" s="708"/>
      <c r="J328" s="708"/>
      <c r="K328" s="708"/>
      <c r="L328" s="1261"/>
      <c r="M328" s="835"/>
      <c r="N328" s="208"/>
      <c r="O328" s="208"/>
      <c r="P328" s="208"/>
      <c r="Q328" s="208"/>
      <c r="R328" s="208"/>
      <c r="S328" s="208"/>
      <c r="T328" s="208"/>
      <c r="U328" s="208"/>
      <c r="V328" s="208"/>
      <c r="W328" s="208"/>
      <c r="X328" s="208"/>
      <c r="Y328" s="208"/>
      <c r="Z328" s="208"/>
      <c r="AA328" s="208"/>
      <c r="AB328" s="208"/>
      <c r="AC328" s="208"/>
      <c r="AD328" s="208"/>
      <c r="AE328" s="208"/>
      <c r="AF328" s="1233"/>
      <c r="AG328" s="1233"/>
      <c r="AH328" s="1233"/>
      <c r="AI328" s="1233"/>
      <c r="AJ328" s="1233"/>
      <c r="AK328" s="1233"/>
      <c r="AL328" s="1233"/>
      <c r="AM328" s="1233"/>
      <c r="AN328" s="1233"/>
      <c r="AO328" s="1233"/>
      <c r="AP328" s="1233">
        <f>$F$56</f>
        <v>0</v>
      </c>
      <c r="AQ328" s="1233">
        <f>$F$56</f>
        <v>0</v>
      </c>
      <c r="AR328" s="1233">
        <f>$F$56</f>
        <v>0</v>
      </c>
      <c r="AS328" s="1233">
        <f>$F$56</f>
        <v>0</v>
      </c>
      <c r="AT328" s="1233">
        <f>$F$56</f>
        <v>0</v>
      </c>
      <c r="AU328" s="1233">
        <f>$F$56</f>
        <v>0</v>
      </c>
      <c r="AV328" s="1233">
        <f>$F$56</f>
        <v>0</v>
      </c>
      <c r="AW328" s="1233">
        <f>$F$56</f>
        <v>0</v>
      </c>
      <c r="AX328" s="1233">
        <f>$F$56</f>
        <v>0</v>
      </c>
      <c r="AY328" s="1233">
        <f>$F$56</f>
        <v>0</v>
      </c>
      <c r="AZ328" s="1233">
        <f>$F$56</f>
        <v>0</v>
      </c>
      <c r="BA328" s="1233">
        <f>$F$56</f>
        <v>0</v>
      </c>
      <c r="BB328" s="1233">
        <f t="shared" si="4420"/>
        <v>0</v>
      </c>
      <c r="BC328" s="1233">
        <f t="shared" si="4381"/>
        <v>0</v>
      </c>
      <c r="BD328" s="1233">
        <f t="shared" si="4343"/>
        <v>0</v>
      </c>
      <c r="BE328" s="1233">
        <f t="shared" si="4306"/>
        <v>0</v>
      </c>
      <c r="BF328" s="1233">
        <f t="shared" si="4270"/>
        <v>0</v>
      </c>
      <c r="BG328" s="1233">
        <f t="shared" si="4235"/>
        <v>0</v>
      </c>
      <c r="BH328" s="1233">
        <f t="shared" si="4201"/>
        <v>0</v>
      </c>
      <c r="BI328" s="1233">
        <f t="shared" si="4168"/>
        <v>0</v>
      </c>
      <c r="BJ328" s="1233">
        <f t="shared" si="4136"/>
        <v>0</v>
      </c>
      <c r="BK328" s="1233">
        <f t="shared" si="4105"/>
        <v>0</v>
      </c>
      <c r="BL328" s="1233">
        <f t="shared" si="4675" ref="BL328:BZ342">$F$223</f>
        <v>0</v>
      </c>
      <c r="BM328" s="1233">
        <f t="shared" si="4637"/>
        <v>0</v>
      </c>
      <c r="BN328" s="1233">
        <f t="shared" si="4598"/>
        <v>0</v>
      </c>
      <c r="BO328" s="1233">
        <f t="shared" si="4558"/>
        <v>0</v>
      </c>
      <c r="BP328" s="1233">
        <f t="shared" si="4517"/>
        <v>0</v>
      </c>
      <c r="BQ328" s="1233">
        <f t="shared" si="4476"/>
        <v>0</v>
      </c>
      <c r="BR328" s="1233">
        <f t="shared" si="4436"/>
        <v>0</v>
      </c>
      <c r="BS328" s="1233">
        <f t="shared" si="4397"/>
        <v>0</v>
      </c>
      <c r="BT328" s="1233">
        <f t="shared" si="4359"/>
        <v>0</v>
      </c>
      <c r="BU328" s="1233">
        <f t="shared" si="4322"/>
        <v>0</v>
      </c>
      <c r="BV328" s="1233">
        <f t="shared" si="4286"/>
        <v>0</v>
      </c>
      <c r="BW328" s="1233">
        <f t="shared" si="4251"/>
        <v>0</v>
      </c>
      <c r="BX328" s="1233">
        <f t="shared" si="4217"/>
        <v>0</v>
      </c>
      <c r="BY328" s="1233">
        <f t="shared" si="4184"/>
        <v>0</v>
      </c>
      <c r="BZ328" s="1233">
        <f t="shared" si="4152"/>
        <v>0</v>
      </c>
      <c r="CA328" s="208"/>
      <c r="CB328" s="208"/>
      <c r="CC328" s="208"/>
      <c r="CD328" s="211"/>
    </row>
    <row r="329" ht="18" customHeight="1">
      <c r="A329" s="1216"/>
      <c r="B329" s="1217"/>
      <c r="C329" t="s" s="1221">
        <v>1127</v>
      </c>
      <c r="D329" s="1217"/>
      <c r="E329" t="s" s="1247">
        <v>1124</v>
      </c>
      <c r="F329" s="1257"/>
      <c r="G329" s="1258">
        <f>D329*F329</f>
        <v>0</v>
      </c>
      <c r="H329" s="1217"/>
      <c r="I329" s="1217"/>
      <c r="J329" s="1217"/>
      <c r="K329" s="1217"/>
      <c r="L329" s="1220"/>
      <c r="M329" s="835"/>
      <c r="N329" s="208"/>
      <c r="O329" s="208"/>
      <c r="P329" s="208"/>
      <c r="Q329" s="208"/>
      <c r="R329" s="208"/>
      <c r="S329" s="208"/>
      <c r="T329" s="208"/>
      <c r="U329" s="208"/>
      <c r="V329" s="208"/>
      <c r="W329" s="208"/>
      <c r="X329" s="208"/>
      <c r="Y329" s="208"/>
      <c r="Z329" s="208"/>
      <c r="AA329" s="208"/>
      <c r="AB329" s="208"/>
      <c r="AC329" s="208"/>
      <c r="AD329" s="208"/>
      <c r="AE329" s="208"/>
      <c r="AF329" s="208"/>
      <c r="AG329" s="1233"/>
      <c r="AH329" s="1233"/>
      <c r="AI329" s="1233"/>
      <c r="AJ329" s="1233"/>
      <c r="AK329" s="1233"/>
      <c r="AL329" s="1233"/>
      <c r="AM329" s="1233"/>
      <c r="AN329" s="1233"/>
      <c r="AO329" s="1233"/>
      <c r="AP329" s="1233"/>
      <c r="AQ329" s="1233">
        <f>$F$56</f>
        <v>0</v>
      </c>
      <c r="AR329" s="1233">
        <f>$F$56</f>
        <v>0</v>
      </c>
      <c r="AS329" s="1233">
        <f>$F$56</f>
        <v>0</v>
      </c>
      <c r="AT329" s="1233">
        <f>$F$56</f>
        <v>0</v>
      </c>
      <c r="AU329" s="1233">
        <f>$F$56</f>
        <v>0</v>
      </c>
      <c r="AV329" s="1233">
        <f>$F$56</f>
        <v>0</v>
      </c>
      <c r="AW329" s="1233">
        <f>$F$56</f>
        <v>0</v>
      </c>
      <c r="AX329" s="1233">
        <f>$F$56</f>
        <v>0</v>
      </c>
      <c r="AY329" s="1233">
        <f>$F$56</f>
        <v>0</v>
      </c>
      <c r="AZ329" s="1233">
        <f>$F$56</f>
        <v>0</v>
      </c>
      <c r="BA329" s="1233">
        <f>$F$56</f>
        <v>0</v>
      </c>
      <c r="BB329" s="1233">
        <f>$F$56</f>
        <v>0</v>
      </c>
      <c r="BC329" s="1233">
        <f t="shared" si="4420"/>
        <v>0</v>
      </c>
      <c r="BD329" s="1233">
        <f t="shared" si="4381"/>
        <v>0</v>
      </c>
      <c r="BE329" s="1233">
        <f t="shared" si="4343"/>
        <v>0</v>
      </c>
      <c r="BF329" s="1233">
        <f t="shared" si="4306"/>
        <v>0</v>
      </c>
      <c r="BG329" s="1233">
        <f t="shared" si="4270"/>
        <v>0</v>
      </c>
      <c r="BH329" s="1233">
        <f t="shared" si="4235"/>
        <v>0</v>
      </c>
      <c r="BI329" s="1233">
        <f t="shared" si="4201"/>
        <v>0</v>
      </c>
      <c r="BJ329" s="1233">
        <f t="shared" si="4168"/>
        <v>0</v>
      </c>
      <c r="BK329" s="1233">
        <f t="shared" si="4136"/>
        <v>0</v>
      </c>
      <c r="BL329" s="1233">
        <f t="shared" si="4712" ref="BL329:BZ343">$F$224</f>
        <v>0</v>
      </c>
      <c r="BM329" s="1233">
        <f t="shared" si="4675"/>
        <v>0</v>
      </c>
      <c r="BN329" s="1233">
        <f t="shared" si="4637"/>
        <v>0</v>
      </c>
      <c r="BO329" s="1233">
        <f t="shared" si="4598"/>
        <v>0</v>
      </c>
      <c r="BP329" s="1233">
        <f t="shared" si="4558"/>
        <v>0</v>
      </c>
      <c r="BQ329" s="1233">
        <f t="shared" si="4517"/>
        <v>0</v>
      </c>
      <c r="BR329" s="1233">
        <f t="shared" si="4476"/>
        <v>0</v>
      </c>
      <c r="BS329" s="1233">
        <f t="shared" si="4436"/>
        <v>0</v>
      </c>
      <c r="BT329" s="1233">
        <f t="shared" si="4397"/>
        <v>0</v>
      </c>
      <c r="BU329" s="1233">
        <f t="shared" si="4359"/>
        <v>0</v>
      </c>
      <c r="BV329" s="1233">
        <f t="shared" si="4322"/>
        <v>0</v>
      </c>
      <c r="BW329" s="1233">
        <f t="shared" si="4286"/>
        <v>0</v>
      </c>
      <c r="BX329" s="1233">
        <f t="shared" si="4251"/>
        <v>0</v>
      </c>
      <c r="BY329" s="1233">
        <f t="shared" si="4217"/>
        <v>0</v>
      </c>
      <c r="BZ329" s="1233">
        <f t="shared" si="4184"/>
        <v>0</v>
      </c>
      <c r="CA329" s="208"/>
      <c r="CB329" s="208"/>
      <c r="CC329" s="208"/>
      <c r="CD329" s="211"/>
    </row>
    <row r="330" ht="18" customHeight="1">
      <c r="A330" s="1216"/>
      <c r="B330" s="1217"/>
      <c r="C330" t="s" s="1221">
        <v>1123</v>
      </c>
      <c r="D330" s="1242"/>
      <c r="E330" t="s" s="1247">
        <v>1124</v>
      </c>
      <c r="F330" s="1257"/>
      <c r="G330" s="1262">
        <f>D330*F330</f>
        <v>0</v>
      </c>
      <c r="H330" s="1263"/>
      <c r="I330" s="1223"/>
      <c r="J330" s="1251"/>
      <c r="K330" s="1264"/>
      <c r="L330" s="1220"/>
      <c r="M330" s="835"/>
      <c r="N330" s="208"/>
      <c r="O330" s="208"/>
      <c r="P330" s="208"/>
      <c r="Q330" s="208"/>
      <c r="R330" s="208"/>
      <c r="S330" s="208"/>
      <c r="T330" s="208"/>
      <c r="U330" s="208"/>
      <c r="V330" s="208"/>
      <c r="W330" s="208"/>
      <c r="X330" s="208"/>
      <c r="Y330" s="208"/>
      <c r="Z330" s="208"/>
      <c r="AA330" s="208"/>
      <c r="AB330" s="208"/>
      <c r="AC330" s="208"/>
      <c r="AD330" s="208"/>
      <c r="AE330" s="208"/>
      <c r="AF330" s="208"/>
      <c r="AG330" s="208"/>
      <c r="AH330" s="1233"/>
      <c r="AI330" s="1233"/>
      <c r="AJ330" s="1233"/>
      <c r="AK330" s="1233"/>
      <c r="AL330" s="1233"/>
      <c r="AM330" s="1233"/>
      <c r="AN330" s="1233"/>
      <c r="AO330" s="1233"/>
      <c r="AP330" s="1233"/>
      <c r="AQ330" s="1233"/>
      <c r="AR330" s="1233">
        <f>$F$56</f>
        <v>0</v>
      </c>
      <c r="AS330" s="1233">
        <f>$F$56</f>
        <v>0</v>
      </c>
      <c r="AT330" s="1233">
        <f>$F$56</f>
        <v>0</v>
      </c>
      <c r="AU330" s="1233">
        <f>$F$56</f>
        <v>0</v>
      </c>
      <c r="AV330" s="1233">
        <f>$F$56</f>
        <v>0</v>
      </c>
      <c r="AW330" s="1233">
        <f>$F$56</f>
        <v>0</v>
      </c>
      <c r="AX330" s="1233">
        <f>$F$56</f>
        <v>0</v>
      </c>
      <c r="AY330" s="1233">
        <f>$F$56</f>
        <v>0</v>
      </c>
      <c r="AZ330" s="1233">
        <f>$F$56</f>
        <v>0</v>
      </c>
      <c r="BA330" s="1233">
        <f>$F$56</f>
        <v>0</v>
      </c>
      <c r="BB330" s="1233">
        <f>$F$56</f>
        <v>0</v>
      </c>
      <c r="BC330" s="1233">
        <f>$F$56</f>
        <v>0</v>
      </c>
      <c r="BD330" s="1233">
        <f t="shared" si="4420"/>
        <v>0</v>
      </c>
      <c r="BE330" s="1233">
        <f t="shared" si="4381"/>
        <v>0</v>
      </c>
      <c r="BF330" s="1233">
        <f t="shared" si="4343"/>
        <v>0</v>
      </c>
      <c r="BG330" s="1233">
        <f t="shared" si="4306"/>
        <v>0</v>
      </c>
      <c r="BH330" s="1233">
        <f t="shared" si="4270"/>
        <v>0</v>
      </c>
      <c r="BI330" s="1233">
        <f t="shared" si="4235"/>
        <v>0</v>
      </c>
      <c r="BJ330" s="1233">
        <f t="shared" si="4201"/>
        <v>0</v>
      </c>
      <c r="BK330" s="1233">
        <f t="shared" si="4168"/>
        <v>0</v>
      </c>
      <c r="BL330" s="1233">
        <f t="shared" si="4748" ref="BL330:BZ344">$F$225</f>
        <v>0</v>
      </c>
      <c r="BM330" s="1233">
        <f t="shared" si="4712"/>
        <v>0</v>
      </c>
      <c r="BN330" s="1233">
        <f t="shared" si="4675"/>
        <v>0</v>
      </c>
      <c r="BO330" s="1233">
        <f t="shared" si="4637"/>
        <v>0</v>
      </c>
      <c r="BP330" s="1233">
        <f t="shared" si="4598"/>
        <v>0</v>
      </c>
      <c r="BQ330" s="1233">
        <f t="shared" si="4558"/>
        <v>0</v>
      </c>
      <c r="BR330" s="1233">
        <f t="shared" si="4517"/>
        <v>0</v>
      </c>
      <c r="BS330" s="1233">
        <f t="shared" si="4476"/>
        <v>0</v>
      </c>
      <c r="BT330" s="1233">
        <f t="shared" si="4436"/>
        <v>0</v>
      </c>
      <c r="BU330" s="1233">
        <f t="shared" si="4397"/>
        <v>0</v>
      </c>
      <c r="BV330" s="1233">
        <f t="shared" si="4359"/>
        <v>0</v>
      </c>
      <c r="BW330" s="1233">
        <f t="shared" si="4322"/>
        <v>0</v>
      </c>
      <c r="BX330" s="1233">
        <f t="shared" si="4286"/>
        <v>0</v>
      </c>
      <c r="BY330" s="1233">
        <f t="shared" si="4251"/>
        <v>0</v>
      </c>
      <c r="BZ330" s="1233">
        <f t="shared" si="4217"/>
        <v>0</v>
      </c>
      <c r="CA330" s="208"/>
      <c r="CB330" s="208"/>
      <c r="CC330" s="208"/>
      <c r="CD330" s="211"/>
    </row>
    <row r="331" ht="18" customHeight="1">
      <c r="A331" s="1216"/>
      <c r="B331" s="1217"/>
      <c r="C331" s="1217"/>
      <c r="D331" s="1265">
        <f>SUM(D324:D330)</f>
        <v>0</v>
      </c>
      <c r="E331" s="1217"/>
      <c r="F331" s="1214"/>
      <c r="G331" s="1266">
        <f>SUM(G324:G330)</f>
        <v>0</v>
      </c>
      <c r="H331" t="s" s="1230">
        <v>1128</v>
      </c>
      <c r="I331" s="1223">
        <f>D331</f>
        <v>0</v>
      </c>
      <c r="J331" t="s" s="1267">
        <v>1129</v>
      </c>
      <c r="K331" s="1268">
        <f>G331/I331</f>
      </c>
      <c r="L331" t="s" s="1247">
        <v>1121</v>
      </c>
      <c r="M331" s="835"/>
      <c r="N331" s="208"/>
      <c r="O331" s="208"/>
      <c r="P331" s="208"/>
      <c r="Q331" s="208"/>
      <c r="R331" s="208"/>
      <c r="S331" s="208"/>
      <c r="T331" s="208"/>
      <c r="U331" s="208"/>
      <c r="V331" s="208"/>
      <c r="W331" s="208"/>
      <c r="X331" s="208"/>
      <c r="Y331" s="208"/>
      <c r="Z331" s="208"/>
      <c r="AA331" s="208"/>
      <c r="AB331" s="208"/>
      <c r="AC331" s="208"/>
      <c r="AD331" s="208"/>
      <c r="AE331" s="208"/>
      <c r="AF331" s="208"/>
      <c r="AG331" s="208"/>
      <c r="AH331" s="208"/>
      <c r="AI331" s="1233"/>
      <c r="AJ331" s="1233"/>
      <c r="AK331" s="1233"/>
      <c r="AL331" s="1233"/>
      <c r="AM331" s="1233"/>
      <c r="AN331" s="1233"/>
      <c r="AO331" s="1233"/>
      <c r="AP331" s="1233"/>
      <c r="AQ331" s="1233"/>
      <c r="AR331" s="1233"/>
      <c r="AS331" s="1233">
        <f>$F$56</f>
        <v>0</v>
      </c>
      <c r="AT331" s="1233">
        <f>$F$56</f>
        <v>0</v>
      </c>
      <c r="AU331" s="1233">
        <f>$F$56</f>
        <v>0</v>
      </c>
      <c r="AV331" s="1233">
        <f>$F$56</f>
        <v>0</v>
      </c>
      <c r="AW331" s="1233">
        <f>$F$56</f>
        <v>0</v>
      </c>
      <c r="AX331" s="1233">
        <f>$F$56</f>
        <v>0</v>
      </c>
      <c r="AY331" s="1233">
        <f>$F$56</f>
        <v>0</v>
      </c>
      <c r="AZ331" s="1233">
        <f>$F$56</f>
        <v>0</v>
      </c>
      <c r="BA331" s="1233">
        <f>$F$56</f>
        <v>0</v>
      </c>
      <c r="BB331" s="1233">
        <f>$F$56</f>
        <v>0</v>
      </c>
      <c r="BC331" s="1233">
        <f>$F$56</f>
        <v>0</v>
      </c>
      <c r="BD331" s="1233">
        <f>$F$56</f>
        <v>0</v>
      </c>
      <c r="BE331" s="1233">
        <f t="shared" si="4420"/>
        <v>0</v>
      </c>
      <c r="BF331" s="1233">
        <f t="shared" si="4381"/>
        <v>0</v>
      </c>
      <c r="BG331" s="1233">
        <f t="shared" si="4343"/>
        <v>0</v>
      </c>
      <c r="BH331" s="1233">
        <f t="shared" si="4306"/>
        <v>0</v>
      </c>
      <c r="BI331" s="1233">
        <f t="shared" si="4270"/>
        <v>0</v>
      </c>
      <c r="BJ331" s="1233">
        <f t="shared" si="4235"/>
        <v>0</v>
      </c>
      <c r="BK331" s="1233">
        <f t="shared" si="4201"/>
        <v>0</v>
      </c>
      <c r="BL331" s="1233">
        <f t="shared" si="4786" ref="BL331:BZ345">$F$226</f>
        <v>0</v>
      </c>
      <c r="BM331" s="1233">
        <f t="shared" si="4748"/>
        <v>0</v>
      </c>
      <c r="BN331" s="1233">
        <f t="shared" si="4712"/>
        <v>0</v>
      </c>
      <c r="BO331" s="1233">
        <f t="shared" si="4675"/>
        <v>0</v>
      </c>
      <c r="BP331" s="1233">
        <f t="shared" si="4637"/>
        <v>0</v>
      </c>
      <c r="BQ331" s="1233">
        <f t="shared" si="4598"/>
        <v>0</v>
      </c>
      <c r="BR331" s="1233">
        <f t="shared" si="4558"/>
        <v>0</v>
      </c>
      <c r="BS331" s="1233">
        <f t="shared" si="4517"/>
        <v>0</v>
      </c>
      <c r="BT331" s="1233">
        <f t="shared" si="4476"/>
        <v>0</v>
      </c>
      <c r="BU331" s="1233">
        <f t="shared" si="4436"/>
        <v>0</v>
      </c>
      <c r="BV331" s="1233">
        <f t="shared" si="4397"/>
        <v>0</v>
      </c>
      <c r="BW331" s="1233">
        <f t="shared" si="4359"/>
        <v>0</v>
      </c>
      <c r="BX331" s="1233">
        <f t="shared" si="4322"/>
        <v>0</v>
      </c>
      <c r="BY331" s="1233">
        <f t="shared" si="4286"/>
        <v>0</v>
      </c>
      <c r="BZ331" s="1233">
        <f t="shared" si="4251"/>
        <v>0</v>
      </c>
      <c r="CA331" s="208"/>
      <c r="CB331" s="208"/>
      <c r="CC331" s="208"/>
      <c r="CD331" s="211"/>
    </row>
    <row r="332" ht="18" customHeight="1">
      <c r="A332" s="1269"/>
      <c r="B332" s="1242"/>
      <c r="C332" s="1242"/>
      <c r="D332" s="1255"/>
      <c r="E332" s="1242"/>
      <c r="F332" s="1242"/>
      <c r="G332" s="1255"/>
      <c r="H332" s="1242"/>
      <c r="I332" s="1242"/>
      <c r="J332" s="1242"/>
      <c r="K332" s="1242"/>
      <c r="L332" s="1270"/>
      <c r="M332" s="835"/>
      <c r="N332" s="208"/>
      <c r="O332" s="208"/>
      <c r="P332" s="208"/>
      <c r="Q332" s="208"/>
      <c r="R332" s="208"/>
      <c r="S332" s="208"/>
      <c r="T332" s="208"/>
      <c r="U332" s="208"/>
      <c r="V332" s="208"/>
      <c r="W332" s="208"/>
      <c r="X332" s="208"/>
      <c r="Y332" s="208"/>
      <c r="Z332" s="208"/>
      <c r="AA332" s="208"/>
      <c r="AB332" s="208"/>
      <c r="AC332" s="208"/>
      <c r="AD332" s="208"/>
      <c r="AE332" s="208"/>
      <c r="AF332" s="208"/>
      <c r="AG332" s="208"/>
      <c r="AH332" s="208"/>
      <c r="AI332" s="208"/>
      <c r="AJ332" s="1233"/>
      <c r="AK332" s="1233"/>
      <c r="AL332" s="1233"/>
      <c r="AM332" s="1233"/>
      <c r="AN332" s="1233"/>
      <c r="AO332" s="1233"/>
      <c r="AP332" s="1233"/>
      <c r="AQ332" s="1233"/>
      <c r="AR332" s="1233"/>
      <c r="AS332" s="1233"/>
      <c r="AT332" s="1233">
        <f>$F$56</f>
        <v>0</v>
      </c>
      <c r="AU332" s="1233">
        <f>$F$56</f>
        <v>0</v>
      </c>
      <c r="AV332" s="1233">
        <f>$F$56</f>
        <v>0</v>
      </c>
      <c r="AW332" s="1233">
        <f>$F$56</f>
        <v>0</v>
      </c>
      <c r="AX332" s="1233">
        <f>$F$56</f>
        <v>0</v>
      </c>
      <c r="AY332" s="1233">
        <f>$F$56</f>
        <v>0</v>
      </c>
      <c r="AZ332" s="1233">
        <f>$F$56</f>
        <v>0</v>
      </c>
      <c r="BA332" s="1233">
        <f>$F$56</f>
        <v>0</v>
      </c>
      <c r="BB332" s="1233">
        <f>$F$56</f>
        <v>0</v>
      </c>
      <c r="BC332" s="1233">
        <f>$F$56</f>
        <v>0</v>
      </c>
      <c r="BD332" s="1233">
        <f>$F$56</f>
        <v>0</v>
      </c>
      <c r="BE332" s="1233">
        <f>$F$56</f>
        <v>0</v>
      </c>
      <c r="BF332" s="1233">
        <f t="shared" si="4420"/>
        <v>0</v>
      </c>
      <c r="BG332" s="1233">
        <f t="shared" si="4381"/>
        <v>0</v>
      </c>
      <c r="BH332" s="1233">
        <f t="shared" si="4343"/>
        <v>0</v>
      </c>
      <c r="BI332" s="1233">
        <f t="shared" si="4306"/>
        <v>0</v>
      </c>
      <c r="BJ332" s="1233">
        <f t="shared" si="4270"/>
        <v>0</v>
      </c>
      <c r="BK332" s="1233">
        <f t="shared" si="4235"/>
        <v>0</v>
      </c>
      <c r="BL332" s="1233">
        <f t="shared" si="4819" ref="BL332:BZ346">$F$227</f>
        <v>0</v>
      </c>
      <c r="BM332" s="1233">
        <f t="shared" si="4786"/>
        <v>0</v>
      </c>
      <c r="BN332" s="1233">
        <f t="shared" si="4748"/>
        <v>0</v>
      </c>
      <c r="BO332" s="1233">
        <f t="shared" si="4712"/>
        <v>0</v>
      </c>
      <c r="BP332" s="1233">
        <f t="shared" si="4675"/>
        <v>0</v>
      </c>
      <c r="BQ332" s="1233">
        <f t="shared" si="4637"/>
        <v>0</v>
      </c>
      <c r="BR332" s="1233">
        <f t="shared" si="4598"/>
        <v>0</v>
      </c>
      <c r="BS332" s="1233">
        <f t="shared" si="4558"/>
        <v>0</v>
      </c>
      <c r="BT332" s="1233">
        <f t="shared" si="4517"/>
        <v>0</v>
      </c>
      <c r="BU332" s="1233">
        <f t="shared" si="4476"/>
        <v>0</v>
      </c>
      <c r="BV332" s="1233">
        <f t="shared" si="4436"/>
        <v>0</v>
      </c>
      <c r="BW332" s="1233">
        <f t="shared" si="4397"/>
        <v>0</v>
      </c>
      <c r="BX332" s="1233">
        <f t="shared" si="4359"/>
        <v>0</v>
      </c>
      <c r="BY332" s="1233">
        <f t="shared" si="4322"/>
        <v>0</v>
      </c>
      <c r="BZ332" s="1233">
        <f t="shared" si="4286"/>
        <v>0</v>
      </c>
      <c r="CA332" s="208"/>
      <c r="CB332" s="208"/>
      <c r="CC332" s="208"/>
      <c r="CD332" s="211"/>
    </row>
    <row r="333" ht="18" customHeight="1">
      <c r="A333" s="1279"/>
      <c r="B333" s="873"/>
      <c r="C333" s="873"/>
      <c r="D333" s="873"/>
      <c r="E333" s="873"/>
      <c r="F333" s="873"/>
      <c r="G333" s="1280"/>
      <c r="H333" s="873"/>
      <c r="I333" s="873"/>
      <c r="J333" s="873"/>
      <c r="K333" s="873"/>
      <c r="L333" s="873"/>
      <c r="M333" s="208"/>
      <c r="N333" s="208"/>
      <c r="O333" s="208"/>
      <c r="P333" s="208"/>
      <c r="Q333" s="208"/>
      <c r="R333" s="208"/>
      <c r="S333" s="208"/>
      <c r="T333" s="208"/>
      <c r="U333" s="208"/>
      <c r="V333" s="208"/>
      <c r="W333" s="208"/>
      <c r="X333" s="208"/>
      <c r="Y333" s="208"/>
      <c r="Z333" s="208"/>
      <c r="AA333" s="208"/>
      <c r="AB333" s="208"/>
      <c r="AC333" s="208"/>
      <c r="AD333" s="208"/>
      <c r="AE333" s="208"/>
      <c r="AF333" s="208"/>
      <c r="AG333" s="208"/>
      <c r="AH333" s="208"/>
      <c r="AI333" s="208"/>
      <c r="AJ333" s="208"/>
      <c r="AK333" s="1233"/>
      <c r="AL333" s="1233"/>
      <c r="AM333" s="1233"/>
      <c r="AN333" s="1233"/>
      <c r="AO333" s="1233"/>
      <c r="AP333" s="1233"/>
      <c r="AQ333" s="1233"/>
      <c r="AR333" s="1233"/>
      <c r="AS333" s="1233"/>
      <c r="AT333" s="1233"/>
      <c r="AU333" s="1233">
        <f>$F$56</f>
        <v>0</v>
      </c>
      <c r="AV333" s="1233">
        <f>$F$56</f>
        <v>0</v>
      </c>
      <c r="AW333" s="1233">
        <f>$F$56</f>
        <v>0</v>
      </c>
      <c r="AX333" s="1233">
        <f>$F$56</f>
        <v>0</v>
      </c>
      <c r="AY333" s="1233">
        <f>$F$56</f>
        <v>0</v>
      </c>
      <c r="AZ333" s="1233">
        <f>$F$56</f>
        <v>0</v>
      </c>
      <c r="BA333" s="1233">
        <f>$F$56</f>
        <v>0</v>
      </c>
      <c r="BB333" s="1233">
        <f>$F$56</f>
        <v>0</v>
      </c>
      <c r="BC333" s="1233">
        <f>$F$56</f>
        <v>0</v>
      </c>
      <c r="BD333" s="1233">
        <f>$F$56</f>
        <v>0</v>
      </c>
      <c r="BE333" s="1233">
        <f>$F$56</f>
        <v>0</v>
      </c>
      <c r="BF333" s="1233">
        <f>$F$56</f>
        <v>0</v>
      </c>
      <c r="BG333" s="1233">
        <f t="shared" si="4420"/>
        <v>0</v>
      </c>
      <c r="BH333" s="1233">
        <f t="shared" si="4381"/>
        <v>0</v>
      </c>
      <c r="BI333" s="1233">
        <f t="shared" si="4343"/>
        <v>0</v>
      </c>
      <c r="BJ333" s="1233">
        <f t="shared" si="4306"/>
        <v>0</v>
      </c>
      <c r="BK333" s="1233">
        <f t="shared" si="4270"/>
        <v>0</v>
      </c>
      <c r="BL333" s="1233">
        <f t="shared" si="4851" ref="BL333:BZ347">$F$228</f>
        <v>0</v>
      </c>
      <c r="BM333" s="1233">
        <f t="shared" si="4819"/>
        <v>0</v>
      </c>
      <c r="BN333" s="1233">
        <f t="shared" si="4786"/>
        <v>0</v>
      </c>
      <c r="BO333" s="1233">
        <f t="shared" si="4748"/>
        <v>0</v>
      </c>
      <c r="BP333" s="1233">
        <f t="shared" si="4712"/>
        <v>0</v>
      </c>
      <c r="BQ333" s="1233">
        <f t="shared" si="4675"/>
        <v>0</v>
      </c>
      <c r="BR333" s="1233">
        <f t="shared" si="4637"/>
        <v>0</v>
      </c>
      <c r="BS333" s="1233">
        <f t="shared" si="4598"/>
        <v>0</v>
      </c>
      <c r="BT333" s="1233">
        <f t="shared" si="4558"/>
        <v>0</v>
      </c>
      <c r="BU333" s="1233">
        <f t="shared" si="4517"/>
        <v>0</v>
      </c>
      <c r="BV333" s="1233">
        <f t="shared" si="4476"/>
        <v>0</v>
      </c>
      <c r="BW333" s="1233">
        <f t="shared" si="4436"/>
        <v>0</v>
      </c>
      <c r="BX333" s="1233">
        <f t="shared" si="4397"/>
        <v>0</v>
      </c>
      <c r="BY333" s="1233">
        <f t="shared" si="4359"/>
        <v>0</v>
      </c>
      <c r="BZ333" s="1233">
        <f t="shared" si="4322"/>
        <v>0</v>
      </c>
      <c r="CA333" s="208"/>
      <c r="CB333" s="208"/>
      <c r="CC333" s="208"/>
      <c r="CD333" s="211"/>
    </row>
    <row r="334" ht="18" customHeight="1">
      <c r="A334" s="207"/>
      <c r="B334" s="208"/>
      <c r="C334" s="208"/>
      <c r="D334" s="208"/>
      <c r="E334" s="208"/>
      <c r="F334" s="208"/>
      <c r="G334" s="1194"/>
      <c r="H334" s="208"/>
      <c r="I334" s="208"/>
      <c r="J334" s="208"/>
      <c r="K334" s="208"/>
      <c r="L334" s="208"/>
      <c r="M334" s="208"/>
      <c r="N334" s="208"/>
      <c r="O334" s="208"/>
      <c r="P334" s="208"/>
      <c r="Q334" s="208"/>
      <c r="R334" s="208"/>
      <c r="S334" s="208"/>
      <c r="T334" s="208"/>
      <c r="U334" s="208"/>
      <c r="V334" s="208"/>
      <c r="W334" s="208"/>
      <c r="X334" s="208"/>
      <c r="Y334" s="208"/>
      <c r="Z334" s="208"/>
      <c r="AA334" s="208"/>
      <c r="AB334" s="208"/>
      <c r="AC334" s="208"/>
      <c r="AD334" s="208"/>
      <c r="AE334" s="208"/>
      <c r="AF334" s="208"/>
      <c r="AG334" s="208"/>
      <c r="AH334" s="208"/>
      <c r="AI334" s="208"/>
      <c r="AJ334" s="208"/>
      <c r="AK334" s="208"/>
      <c r="AL334" s="1233"/>
      <c r="AM334" s="1233"/>
      <c r="AN334" s="1233"/>
      <c r="AO334" s="1233"/>
      <c r="AP334" s="1233"/>
      <c r="AQ334" s="1233"/>
      <c r="AR334" s="1233"/>
      <c r="AS334" s="1233"/>
      <c r="AT334" s="1233"/>
      <c r="AU334" s="1233"/>
      <c r="AV334" s="1233">
        <f>$F$56</f>
        <v>0</v>
      </c>
      <c r="AW334" s="1233">
        <f>$F$56</f>
        <v>0</v>
      </c>
      <c r="AX334" s="1233">
        <f>$F$56</f>
        <v>0</v>
      </c>
      <c r="AY334" s="1233">
        <f>$F$56</f>
        <v>0</v>
      </c>
      <c r="AZ334" s="1233">
        <f>$F$56</f>
        <v>0</v>
      </c>
      <c r="BA334" s="1233">
        <f>$F$56</f>
        <v>0</v>
      </c>
      <c r="BB334" s="1233">
        <f>$F$56</f>
        <v>0</v>
      </c>
      <c r="BC334" s="1233">
        <f>$F$56</f>
        <v>0</v>
      </c>
      <c r="BD334" s="1233">
        <f>$F$56</f>
        <v>0</v>
      </c>
      <c r="BE334" s="1233">
        <f>$F$56</f>
        <v>0</v>
      </c>
      <c r="BF334" s="1233">
        <f>$F$56</f>
        <v>0</v>
      </c>
      <c r="BG334" s="1233">
        <f>$F$56</f>
        <v>0</v>
      </c>
      <c r="BH334" s="1233">
        <f t="shared" si="4420"/>
        <v>0</v>
      </c>
      <c r="BI334" s="1233">
        <f t="shared" si="4381"/>
        <v>0</v>
      </c>
      <c r="BJ334" s="1233">
        <f t="shared" si="4343"/>
        <v>0</v>
      </c>
      <c r="BK334" s="1233">
        <f t="shared" si="4306"/>
        <v>0</v>
      </c>
      <c r="BL334" s="1233">
        <f t="shared" si="4882" ref="BL334:BZ348">$F$229</f>
        <v>0</v>
      </c>
      <c r="BM334" s="1233">
        <f t="shared" si="4851"/>
        <v>0</v>
      </c>
      <c r="BN334" s="1233">
        <f t="shared" si="4819"/>
        <v>0</v>
      </c>
      <c r="BO334" s="1233">
        <f t="shared" si="4786"/>
        <v>0</v>
      </c>
      <c r="BP334" s="1233">
        <f t="shared" si="4748"/>
        <v>0</v>
      </c>
      <c r="BQ334" s="1233">
        <f t="shared" si="4712"/>
        <v>0</v>
      </c>
      <c r="BR334" s="1233">
        <f t="shared" si="4675"/>
        <v>0</v>
      </c>
      <c r="BS334" s="1233">
        <f t="shared" si="4637"/>
        <v>0</v>
      </c>
      <c r="BT334" s="1233">
        <f t="shared" si="4598"/>
        <v>0</v>
      </c>
      <c r="BU334" s="1233">
        <f t="shared" si="4558"/>
        <v>0</v>
      </c>
      <c r="BV334" s="1233">
        <f t="shared" si="4517"/>
        <v>0</v>
      </c>
      <c r="BW334" s="1233">
        <f t="shared" si="4476"/>
        <v>0</v>
      </c>
      <c r="BX334" s="1233">
        <f t="shared" si="4436"/>
        <v>0</v>
      </c>
      <c r="BY334" s="1233">
        <f t="shared" si="4397"/>
        <v>0</v>
      </c>
      <c r="BZ334" s="1233">
        <f t="shared" si="4359"/>
        <v>0</v>
      </c>
      <c r="CA334" s="208"/>
      <c r="CB334" s="208"/>
      <c r="CC334" s="208"/>
      <c r="CD334" s="211"/>
    </row>
    <row r="335" ht="18" customHeight="1">
      <c r="A335" s="207"/>
      <c r="B335" s="208"/>
      <c r="C335" s="208"/>
      <c r="D335" s="208"/>
      <c r="E335" s="208"/>
      <c r="F335" s="208"/>
      <c r="G335" s="1194"/>
      <c r="H335" s="208"/>
      <c r="I335" s="208"/>
      <c r="J335" s="208"/>
      <c r="K335" s="208"/>
      <c r="L335" s="208"/>
      <c r="M335" s="208"/>
      <c r="N335" s="208"/>
      <c r="O335" s="208"/>
      <c r="P335" s="208"/>
      <c r="Q335" s="208"/>
      <c r="R335" s="208"/>
      <c r="S335" s="208"/>
      <c r="T335" s="208"/>
      <c r="U335" s="208"/>
      <c r="V335" s="208"/>
      <c r="W335" s="208"/>
      <c r="X335" s="208"/>
      <c r="Y335" s="208"/>
      <c r="Z335" s="208"/>
      <c r="AA335" s="208"/>
      <c r="AB335" s="208"/>
      <c r="AC335" s="208"/>
      <c r="AD335" s="208"/>
      <c r="AE335" s="208"/>
      <c r="AF335" s="208"/>
      <c r="AG335" s="208"/>
      <c r="AH335" s="208"/>
      <c r="AI335" s="208"/>
      <c r="AJ335" s="208"/>
      <c r="AK335" s="208"/>
      <c r="AL335" s="208"/>
      <c r="AM335" s="1233"/>
      <c r="AN335" s="1233"/>
      <c r="AO335" s="1233"/>
      <c r="AP335" s="1233"/>
      <c r="AQ335" s="1233"/>
      <c r="AR335" s="1233"/>
      <c r="AS335" s="1233"/>
      <c r="AT335" s="1233"/>
      <c r="AU335" s="1233"/>
      <c r="AV335" s="1233"/>
      <c r="AW335" s="1233">
        <f>$F$56</f>
        <v>0</v>
      </c>
      <c r="AX335" s="1233">
        <f>$F$56</f>
        <v>0</v>
      </c>
      <c r="AY335" s="1233">
        <f>$F$56</f>
        <v>0</v>
      </c>
      <c r="AZ335" s="1233">
        <f>$F$56</f>
        <v>0</v>
      </c>
      <c r="BA335" s="1233">
        <f>$F$56</f>
        <v>0</v>
      </c>
      <c r="BB335" s="1233">
        <f>$F$56</f>
        <v>0</v>
      </c>
      <c r="BC335" s="1233">
        <f>$F$56</f>
        <v>0</v>
      </c>
      <c r="BD335" s="1233">
        <f>$F$56</f>
        <v>0</v>
      </c>
      <c r="BE335" s="1233">
        <f>$F$56</f>
        <v>0</v>
      </c>
      <c r="BF335" s="1233">
        <f>$F$56</f>
        <v>0</v>
      </c>
      <c r="BG335" s="1233">
        <f>$F$56</f>
        <v>0</v>
      </c>
      <c r="BH335" s="1233">
        <f>$F$56</f>
        <v>0</v>
      </c>
      <c r="BI335" s="1233">
        <f t="shared" si="4420"/>
        <v>0</v>
      </c>
      <c r="BJ335" s="1233">
        <f t="shared" si="4381"/>
        <v>0</v>
      </c>
      <c r="BK335" s="1233">
        <f t="shared" si="4343"/>
        <v>0</v>
      </c>
      <c r="BL335" s="1233">
        <f t="shared" si="4912" ref="BL335:BZ349">$F$230</f>
        <v>0</v>
      </c>
      <c r="BM335" s="1233">
        <f t="shared" si="4882"/>
        <v>0</v>
      </c>
      <c r="BN335" s="1233">
        <f t="shared" si="4851"/>
        <v>0</v>
      </c>
      <c r="BO335" s="1233">
        <f t="shared" si="4819"/>
        <v>0</v>
      </c>
      <c r="BP335" s="1233">
        <f t="shared" si="4786"/>
        <v>0</v>
      </c>
      <c r="BQ335" s="1233">
        <f t="shared" si="4748"/>
        <v>0</v>
      </c>
      <c r="BR335" s="1233">
        <f t="shared" si="4712"/>
        <v>0</v>
      </c>
      <c r="BS335" s="1233">
        <f t="shared" si="4675"/>
        <v>0</v>
      </c>
      <c r="BT335" s="1233">
        <f t="shared" si="4637"/>
        <v>0</v>
      </c>
      <c r="BU335" s="1233">
        <f t="shared" si="4598"/>
        <v>0</v>
      </c>
      <c r="BV335" s="1233">
        <f t="shared" si="4558"/>
        <v>0</v>
      </c>
      <c r="BW335" s="1233">
        <f t="shared" si="4517"/>
        <v>0</v>
      </c>
      <c r="BX335" s="1233">
        <f t="shared" si="4476"/>
        <v>0</v>
      </c>
      <c r="BY335" s="1233">
        <f t="shared" si="4436"/>
        <v>0</v>
      </c>
      <c r="BZ335" s="1233">
        <f t="shared" si="4397"/>
        <v>0</v>
      </c>
      <c r="CA335" s="208"/>
      <c r="CB335" s="208"/>
      <c r="CC335" s="208"/>
      <c r="CD335" s="211"/>
    </row>
    <row r="336" ht="18" customHeight="1">
      <c r="A336" s="207"/>
      <c r="B336" s="208"/>
      <c r="C336" s="208"/>
      <c r="D336" s="208"/>
      <c r="E336" s="208"/>
      <c r="F336" s="208"/>
      <c r="G336" s="1194"/>
      <c r="H336" s="208"/>
      <c r="I336" s="208"/>
      <c r="J336" s="208"/>
      <c r="K336" s="208"/>
      <c r="L336" s="208"/>
      <c r="M336" s="208"/>
      <c r="N336" s="208"/>
      <c r="O336" s="208"/>
      <c r="P336" s="208"/>
      <c r="Q336" s="208"/>
      <c r="R336" s="208"/>
      <c r="S336" s="208"/>
      <c r="T336" s="208"/>
      <c r="U336" s="208"/>
      <c r="V336" s="208"/>
      <c r="W336" s="208"/>
      <c r="X336" s="208"/>
      <c r="Y336" s="208"/>
      <c r="Z336" s="208"/>
      <c r="AA336" s="208"/>
      <c r="AB336" s="208"/>
      <c r="AC336" s="208"/>
      <c r="AD336" s="208"/>
      <c r="AE336" s="208"/>
      <c r="AF336" s="208"/>
      <c r="AG336" s="208"/>
      <c r="AH336" s="208"/>
      <c r="AI336" s="208"/>
      <c r="AJ336" s="208"/>
      <c r="AK336" s="208"/>
      <c r="AL336" s="208"/>
      <c r="AM336" s="208"/>
      <c r="AN336" s="1233"/>
      <c r="AO336" s="1233"/>
      <c r="AP336" s="1233"/>
      <c r="AQ336" s="1233"/>
      <c r="AR336" s="1233"/>
      <c r="AS336" s="1233"/>
      <c r="AT336" s="1233"/>
      <c r="AU336" s="1233"/>
      <c r="AV336" s="1233"/>
      <c r="AW336" s="1233"/>
      <c r="AX336" s="1233">
        <f>$F$56</f>
        <v>0</v>
      </c>
      <c r="AY336" s="1233">
        <f>$F$56</f>
        <v>0</v>
      </c>
      <c r="AZ336" s="1233">
        <f>$F$56</f>
        <v>0</v>
      </c>
      <c r="BA336" s="1233">
        <f>$F$56</f>
        <v>0</v>
      </c>
      <c r="BB336" s="1233">
        <f>$F$56</f>
        <v>0</v>
      </c>
      <c r="BC336" s="1233">
        <f>$F$56</f>
        <v>0</v>
      </c>
      <c r="BD336" s="1233">
        <f>$F$56</f>
        <v>0</v>
      </c>
      <c r="BE336" s="1233">
        <f>$F$56</f>
        <v>0</v>
      </c>
      <c r="BF336" s="1233">
        <f>$F$56</f>
        <v>0</v>
      </c>
      <c r="BG336" s="1233">
        <f>$F$56</f>
        <v>0</v>
      </c>
      <c r="BH336" s="1233">
        <f>$F$56</f>
        <v>0</v>
      </c>
      <c r="BI336" s="1233">
        <f>$F$56</f>
        <v>0</v>
      </c>
      <c r="BJ336" s="1233">
        <f t="shared" si="4420"/>
        <v>0</v>
      </c>
      <c r="BK336" s="1233">
        <f t="shared" si="4381"/>
        <v>0</v>
      </c>
      <c r="BL336" s="1233">
        <f t="shared" si="4941" ref="BL336:BZ350">$F$231</f>
        <v>0</v>
      </c>
      <c r="BM336" s="1233">
        <f t="shared" si="4912"/>
        <v>0</v>
      </c>
      <c r="BN336" s="1233">
        <f t="shared" si="4882"/>
        <v>0</v>
      </c>
      <c r="BO336" s="1233">
        <f t="shared" si="4851"/>
        <v>0</v>
      </c>
      <c r="BP336" s="1233">
        <f t="shared" si="4819"/>
        <v>0</v>
      </c>
      <c r="BQ336" s="1233">
        <f t="shared" si="4786"/>
        <v>0</v>
      </c>
      <c r="BR336" s="1233">
        <f t="shared" si="4748"/>
        <v>0</v>
      </c>
      <c r="BS336" s="1233">
        <f t="shared" si="4712"/>
        <v>0</v>
      </c>
      <c r="BT336" s="1233">
        <f t="shared" si="4675"/>
        <v>0</v>
      </c>
      <c r="BU336" s="1233">
        <f t="shared" si="4637"/>
        <v>0</v>
      </c>
      <c r="BV336" s="1233">
        <f t="shared" si="4598"/>
        <v>0</v>
      </c>
      <c r="BW336" s="1233">
        <f t="shared" si="4558"/>
        <v>0</v>
      </c>
      <c r="BX336" s="1233">
        <f t="shared" si="4517"/>
        <v>0</v>
      </c>
      <c r="BY336" s="1233">
        <f t="shared" si="4476"/>
        <v>0</v>
      </c>
      <c r="BZ336" s="1233">
        <f t="shared" si="4436"/>
        <v>0</v>
      </c>
      <c r="CA336" s="208"/>
      <c r="CB336" s="208"/>
      <c r="CC336" s="208"/>
      <c r="CD336" s="211"/>
    </row>
    <row r="337" ht="18" customHeight="1">
      <c r="A337" s="207"/>
      <c r="B337" s="208"/>
      <c r="C337" s="208"/>
      <c r="D337" s="208"/>
      <c r="E337" s="208"/>
      <c r="F337" s="208"/>
      <c r="G337" s="1194"/>
      <c r="H337" s="208"/>
      <c r="I337" s="208"/>
      <c r="J337" s="208"/>
      <c r="K337" s="208"/>
      <c r="L337" s="208"/>
      <c r="M337" s="208"/>
      <c r="N337" s="208"/>
      <c r="O337" s="208"/>
      <c r="P337" s="208"/>
      <c r="Q337" s="208"/>
      <c r="R337" s="208"/>
      <c r="S337" s="208"/>
      <c r="T337" s="208"/>
      <c r="U337" s="208"/>
      <c r="V337" s="208"/>
      <c r="W337" s="208"/>
      <c r="X337" s="208"/>
      <c r="Y337" s="208"/>
      <c r="Z337" s="208"/>
      <c r="AA337" s="208"/>
      <c r="AB337" s="208"/>
      <c r="AC337" s="208"/>
      <c r="AD337" s="208"/>
      <c r="AE337" s="208"/>
      <c r="AF337" s="208"/>
      <c r="AG337" s="208"/>
      <c r="AH337" s="208"/>
      <c r="AI337" s="208"/>
      <c r="AJ337" s="208"/>
      <c r="AK337" s="208"/>
      <c r="AL337" s="208"/>
      <c r="AM337" s="208"/>
      <c r="AN337" s="208"/>
      <c r="AO337" s="1233"/>
      <c r="AP337" s="1233"/>
      <c r="AQ337" s="1233"/>
      <c r="AR337" s="1233"/>
      <c r="AS337" s="1233"/>
      <c r="AT337" s="1233"/>
      <c r="AU337" s="1233"/>
      <c r="AV337" s="1233"/>
      <c r="AW337" s="1233"/>
      <c r="AX337" s="1233"/>
      <c r="AY337" s="1233">
        <f>$F$56</f>
        <v>0</v>
      </c>
      <c r="AZ337" s="1233">
        <f>$F$56</f>
        <v>0</v>
      </c>
      <c r="BA337" s="1233">
        <f>$F$56</f>
        <v>0</v>
      </c>
      <c r="BB337" s="1233">
        <f>$F$56</f>
        <v>0</v>
      </c>
      <c r="BC337" s="1233">
        <f>$F$56</f>
        <v>0</v>
      </c>
      <c r="BD337" s="1233">
        <f>$F$56</f>
        <v>0</v>
      </c>
      <c r="BE337" s="1233">
        <f>$F$56</f>
        <v>0</v>
      </c>
      <c r="BF337" s="1233">
        <f>$F$56</f>
        <v>0</v>
      </c>
      <c r="BG337" s="1233">
        <f>$F$56</f>
        <v>0</v>
      </c>
      <c r="BH337" s="1233">
        <f>$F$56</f>
        <v>0</v>
      </c>
      <c r="BI337" s="1233">
        <f>$F$56</f>
        <v>0</v>
      </c>
      <c r="BJ337" s="1233">
        <f>$F$56</f>
        <v>0</v>
      </c>
      <c r="BK337" s="1233">
        <f t="shared" si="4420"/>
        <v>0</v>
      </c>
      <c r="BL337" s="1233">
        <f t="shared" si="4969" ref="BL337:BZ351">$F$232</f>
        <v>0</v>
      </c>
      <c r="BM337" s="1233">
        <f t="shared" si="4941"/>
        <v>0</v>
      </c>
      <c r="BN337" s="1233">
        <f t="shared" si="4912"/>
        <v>0</v>
      </c>
      <c r="BO337" s="1233">
        <f t="shared" si="4882"/>
        <v>0</v>
      </c>
      <c r="BP337" s="1233">
        <f t="shared" si="4851"/>
        <v>0</v>
      </c>
      <c r="BQ337" s="1233">
        <f t="shared" si="4819"/>
        <v>0</v>
      </c>
      <c r="BR337" s="1233">
        <f t="shared" si="4786"/>
        <v>0</v>
      </c>
      <c r="BS337" s="1233">
        <f t="shared" si="4748"/>
        <v>0</v>
      </c>
      <c r="BT337" s="1233">
        <f t="shared" si="4712"/>
        <v>0</v>
      </c>
      <c r="BU337" s="1233">
        <f t="shared" si="4675"/>
        <v>0</v>
      </c>
      <c r="BV337" s="1233">
        <f t="shared" si="4637"/>
        <v>0</v>
      </c>
      <c r="BW337" s="1233">
        <f t="shared" si="4598"/>
        <v>0</v>
      </c>
      <c r="BX337" s="1233">
        <f t="shared" si="4558"/>
        <v>0</v>
      </c>
      <c r="BY337" s="1233">
        <f t="shared" si="4517"/>
        <v>0</v>
      </c>
      <c r="BZ337" s="1233">
        <f t="shared" si="4476"/>
        <v>0</v>
      </c>
      <c r="CA337" s="208"/>
      <c r="CB337" s="208"/>
      <c r="CC337" s="208"/>
      <c r="CD337" s="211"/>
    </row>
    <row r="338" ht="18" customHeight="1">
      <c r="A338" s="207"/>
      <c r="B338" s="208"/>
      <c r="C338" s="208"/>
      <c r="D338" s="208"/>
      <c r="E338" s="208"/>
      <c r="F338" s="208"/>
      <c r="G338" s="1194"/>
      <c r="H338" s="208"/>
      <c r="I338" s="208"/>
      <c r="J338" s="208"/>
      <c r="K338" s="208"/>
      <c r="L338" s="208"/>
      <c r="M338" s="208"/>
      <c r="N338" s="208"/>
      <c r="O338" s="208"/>
      <c r="P338" s="208"/>
      <c r="Q338" s="208"/>
      <c r="R338" s="208"/>
      <c r="S338" s="208"/>
      <c r="T338" s="208"/>
      <c r="U338" s="208"/>
      <c r="V338" s="208"/>
      <c r="W338" s="208"/>
      <c r="X338" s="208"/>
      <c r="Y338" s="208"/>
      <c r="Z338" s="208"/>
      <c r="AA338" s="208"/>
      <c r="AB338" s="208"/>
      <c r="AC338" s="208"/>
      <c r="AD338" s="208"/>
      <c r="AE338" s="208"/>
      <c r="AF338" s="208"/>
      <c r="AG338" s="208"/>
      <c r="AH338" s="208"/>
      <c r="AI338" s="208"/>
      <c r="AJ338" s="208"/>
      <c r="AK338" s="208"/>
      <c r="AL338" s="208"/>
      <c r="AM338" s="208"/>
      <c r="AN338" s="208"/>
      <c r="AO338" s="208"/>
      <c r="AP338" s="1233"/>
      <c r="AQ338" s="1233"/>
      <c r="AR338" s="1233"/>
      <c r="AS338" s="1233"/>
      <c r="AT338" s="1233"/>
      <c r="AU338" s="1233"/>
      <c r="AV338" s="1233"/>
      <c r="AW338" s="1233"/>
      <c r="AX338" s="1233"/>
      <c r="AY338" s="1233"/>
      <c r="AZ338" s="1233">
        <f>$F$56</f>
        <v>0</v>
      </c>
      <c r="BA338" s="1233">
        <f>$F$56</f>
        <v>0</v>
      </c>
      <c r="BB338" s="1233">
        <f>$F$56</f>
        <v>0</v>
      </c>
      <c r="BC338" s="1233">
        <f>$F$56</f>
        <v>0</v>
      </c>
      <c r="BD338" s="1233">
        <f>$F$56</f>
        <v>0</v>
      </c>
      <c r="BE338" s="1233">
        <f>$F$56</f>
        <v>0</v>
      </c>
      <c r="BF338" s="1233">
        <f>$F$56</f>
        <v>0</v>
      </c>
      <c r="BG338" s="1233">
        <f>$F$56</f>
        <v>0</v>
      </c>
      <c r="BH338" s="1233">
        <f>$F$56</f>
        <v>0</v>
      </c>
      <c r="BI338" s="1233">
        <f>$F$56</f>
        <v>0</v>
      </c>
      <c r="BJ338" s="1233">
        <f>$F$56</f>
        <v>0</v>
      </c>
      <c r="BK338" s="1233">
        <f>$F$56</f>
        <v>0</v>
      </c>
      <c r="BL338" s="1233">
        <f t="shared" si="4996" ref="BL338:BZ352">$F$233</f>
        <v>0</v>
      </c>
      <c r="BM338" s="1233">
        <f t="shared" si="4969"/>
        <v>0</v>
      </c>
      <c r="BN338" s="1233">
        <f t="shared" si="4941"/>
        <v>0</v>
      </c>
      <c r="BO338" s="1233">
        <f t="shared" si="4912"/>
        <v>0</v>
      </c>
      <c r="BP338" s="1233">
        <f t="shared" si="4882"/>
        <v>0</v>
      </c>
      <c r="BQ338" s="1233">
        <f t="shared" si="4851"/>
        <v>0</v>
      </c>
      <c r="BR338" s="1233">
        <f t="shared" si="4819"/>
        <v>0</v>
      </c>
      <c r="BS338" s="1233">
        <f t="shared" si="4786"/>
        <v>0</v>
      </c>
      <c r="BT338" s="1233">
        <f t="shared" si="4748"/>
        <v>0</v>
      </c>
      <c r="BU338" s="1233">
        <f t="shared" si="4712"/>
        <v>0</v>
      </c>
      <c r="BV338" s="1233">
        <f t="shared" si="4675"/>
        <v>0</v>
      </c>
      <c r="BW338" s="1233">
        <f t="shared" si="4637"/>
        <v>0</v>
      </c>
      <c r="BX338" s="1233">
        <f t="shared" si="4598"/>
        <v>0</v>
      </c>
      <c r="BY338" s="1233">
        <f t="shared" si="4558"/>
        <v>0</v>
      </c>
      <c r="BZ338" s="1233">
        <f t="shared" si="4517"/>
        <v>0</v>
      </c>
      <c r="CA338" s="208"/>
      <c r="CB338" s="208"/>
      <c r="CC338" s="208"/>
      <c r="CD338" s="211"/>
    </row>
    <row r="339" ht="18" customHeight="1">
      <c r="A339" s="207"/>
      <c r="B339" s="208"/>
      <c r="C339" s="208"/>
      <c r="D339" s="208"/>
      <c r="E339" s="208"/>
      <c r="F339" s="208"/>
      <c r="G339" s="1194"/>
      <c r="H339" s="208"/>
      <c r="I339" s="208"/>
      <c r="J339" s="208"/>
      <c r="K339" s="208"/>
      <c r="L339" s="208"/>
      <c r="M339" s="208"/>
      <c r="N339" s="208"/>
      <c r="O339" s="208"/>
      <c r="P339" s="208"/>
      <c r="Q339" s="208"/>
      <c r="R339" s="208"/>
      <c r="S339" s="208"/>
      <c r="T339" s="208"/>
      <c r="U339" s="208"/>
      <c r="V339" s="208"/>
      <c r="W339" s="208"/>
      <c r="X339" s="208"/>
      <c r="Y339" s="208"/>
      <c r="Z339" s="208"/>
      <c r="AA339" s="208"/>
      <c r="AB339" s="208"/>
      <c r="AC339" s="208"/>
      <c r="AD339" s="208"/>
      <c r="AE339" s="208"/>
      <c r="AF339" s="208"/>
      <c r="AG339" s="208"/>
      <c r="AH339" s="208"/>
      <c r="AI339" s="208"/>
      <c r="AJ339" s="208"/>
      <c r="AK339" s="208"/>
      <c r="AL339" s="208"/>
      <c r="AM339" s="208"/>
      <c r="AN339" s="208"/>
      <c r="AO339" s="208"/>
      <c r="AP339" s="208"/>
      <c r="AQ339" s="1233"/>
      <c r="AR339" s="1233"/>
      <c r="AS339" s="1233"/>
      <c r="AT339" s="1233"/>
      <c r="AU339" s="1233"/>
      <c r="AV339" s="1233"/>
      <c r="AW339" s="1233"/>
      <c r="AX339" s="1233"/>
      <c r="AY339" s="1233"/>
      <c r="AZ339" s="1233"/>
      <c r="BA339" s="1233">
        <f>$F$56</f>
        <v>0</v>
      </c>
      <c r="BB339" s="1233">
        <f>$F$56</f>
        <v>0</v>
      </c>
      <c r="BC339" s="1233">
        <f>$F$56</f>
        <v>0</v>
      </c>
      <c r="BD339" s="1233">
        <f>$F$56</f>
        <v>0</v>
      </c>
      <c r="BE339" s="1233">
        <f>$F$56</f>
        <v>0</v>
      </c>
      <c r="BF339" s="1233">
        <f>$F$56</f>
        <v>0</v>
      </c>
      <c r="BG339" s="1233">
        <f>$F$56</f>
        <v>0</v>
      </c>
      <c r="BH339" s="1233">
        <f>$F$56</f>
        <v>0</v>
      </c>
      <c r="BI339" s="1233">
        <f>$F$56</f>
        <v>0</v>
      </c>
      <c r="BJ339" s="1233">
        <f>$F$56</f>
        <v>0</v>
      </c>
      <c r="BK339" s="1233">
        <f>$F$56</f>
        <v>0</v>
      </c>
      <c r="BL339" s="1233">
        <f>$F$56</f>
        <v>0</v>
      </c>
      <c r="BM339" s="1233">
        <f t="shared" si="4996"/>
        <v>0</v>
      </c>
      <c r="BN339" s="1233">
        <f t="shared" si="4969"/>
        <v>0</v>
      </c>
      <c r="BO339" s="1233">
        <f t="shared" si="4941"/>
        <v>0</v>
      </c>
      <c r="BP339" s="1233">
        <f t="shared" si="4912"/>
        <v>0</v>
      </c>
      <c r="BQ339" s="1233">
        <f t="shared" si="4882"/>
        <v>0</v>
      </c>
      <c r="BR339" s="1233">
        <f t="shared" si="4851"/>
        <v>0</v>
      </c>
      <c r="BS339" s="1233">
        <f t="shared" si="4819"/>
        <v>0</v>
      </c>
      <c r="BT339" s="1233">
        <f t="shared" si="4786"/>
        <v>0</v>
      </c>
      <c r="BU339" s="1233">
        <f t="shared" si="4748"/>
        <v>0</v>
      </c>
      <c r="BV339" s="1233">
        <f t="shared" si="4712"/>
        <v>0</v>
      </c>
      <c r="BW339" s="1233">
        <f t="shared" si="4675"/>
        <v>0</v>
      </c>
      <c r="BX339" s="1233">
        <f t="shared" si="4637"/>
        <v>0</v>
      </c>
      <c r="BY339" s="1233">
        <f t="shared" si="4598"/>
        <v>0</v>
      </c>
      <c r="BZ339" s="1233">
        <f t="shared" si="4558"/>
        <v>0</v>
      </c>
      <c r="CA339" s="208"/>
      <c r="CB339" s="208"/>
      <c r="CC339" s="208"/>
      <c r="CD339" s="211"/>
    </row>
    <row r="340" ht="18" customHeight="1">
      <c r="A340" s="207"/>
      <c r="B340" s="208"/>
      <c r="C340" s="208"/>
      <c r="D340" s="208"/>
      <c r="E340" s="208"/>
      <c r="F340" s="208"/>
      <c r="G340" s="1194"/>
      <c r="H340" s="208"/>
      <c r="I340" s="208"/>
      <c r="J340" s="208"/>
      <c r="K340" s="208"/>
      <c r="L340" s="208"/>
      <c r="M340" s="208"/>
      <c r="N340" s="208"/>
      <c r="O340" s="208"/>
      <c r="P340" s="208"/>
      <c r="Q340" s="208"/>
      <c r="R340" s="208"/>
      <c r="S340" s="208"/>
      <c r="T340" s="208"/>
      <c r="U340" s="208"/>
      <c r="V340" s="208"/>
      <c r="W340" s="208"/>
      <c r="X340" s="208"/>
      <c r="Y340" s="208"/>
      <c r="Z340" s="208"/>
      <c r="AA340" s="208"/>
      <c r="AB340" s="208"/>
      <c r="AC340" s="208"/>
      <c r="AD340" s="208"/>
      <c r="AE340" s="208"/>
      <c r="AF340" s="208"/>
      <c r="AG340" s="208"/>
      <c r="AH340" s="208"/>
      <c r="AI340" s="208"/>
      <c r="AJ340" s="208"/>
      <c r="AK340" s="208"/>
      <c r="AL340" s="208"/>
      <c r="AM340" s="208"/>
      <c r="AN340" s="208"/>
      <c r="AO340" s="208"/>
      <c r="AP340" s="208"/>
      <c r="AQ340" s="208"/>
      <c r="AR340" s="1233"/>
      <c r="AS340" s="1233"/>
      <c r="AT340" s="1233"/>
      <c r="AU340" s="1233"/>
      <c r="AV340" s="1233"/>
      <c r="AW340" s="1233"/>
      <c r="AX340" s="1233"/>
      <c r="AY340" s="1233"/>
      <c r="AZ340" s="1233"/>
      <c r="BA340" s="208"/>
      <c r="BB340" s="1233">
        <f>$F$56</f>
        <v>0</v>
      </c>
      <c r="BC340" s="1233">
        <f>$F$56</f>
        <v>0</v>
      </c>
      <c r="BD340" s="1233">
        <f>$F$56</f>
        <v>0</v>
      </c>
      <c r="BE340" s="1233">
        <f>$F$56</f>
        <v>0</v>
      </c>
      <c r="BF340" s="1233">
        <f>$F$56</f>
        <v>0</v>
      </c>
      <c r="BG340" s="1233">
        <f>$F$56</f>
        <v>0</v>
      </c>
      <c r="BH340" s="1233">
        <f>$F$56</f>
        <v>0</v>
      </c>
      <c r="BI340" s="1233">
        <f>$F$56</f>
        <v>0</v>
      </c>
      <c r="BJ340" s="1233">
        <f>$F$56</f>
        <v>0</v>
      </c>
      <c r="BK340" s="1233">
        <f>$F$56</f>
        <v>0</v>
      </c>
      <c r="BL340" s="1233">
        <f>$F$56</f>
        <v>0</v>
      </c>
      <c r="BM340" s="1233">
        <f>$F$56</f>
        <v>0</v>
      </c>
      <c r="BN340" s="1233">
        <f t="shared" si="4996"/>
        <v>0</v>
      </c>
      <c r="BO340" s="1233">
        <f t="shared" si="4969"/>
        <v>0</v>
      </c>
      <c r="BP340" s="1233">
        <f t="shared" si="4941"/>
        <v>0</v>
      </c>
      <c r="BQ340" s="1233">
        <f t="shared" si="4912"/>
        <v>0</v>
      </c>
      <c r="BR340" s="1233">
        <f t="shared" si="4882"/>
        <v>0</v>
      </c>
      <c r="BS340" s="1233">
        <f t="shared" si="4851"/>
        <v>0</v>
      </c>
      <c r="BT340" s="1233">
        <f t="shared" si="4819"/>
        <v>0</v>
      </c>
      <c r="BU340" s="1233">
        <f t="shared" si="4786"/>
        <v>0</v>
      </c>
      <c r="BV340" s="1233">
        <f t="shared" si="4748"/>
        <v>0</v>
      </c>
      <c r="BW340" s="1233">
        <f t="shared" si="4712"/>
        <v>0</v>
      </c>
      <c r="BX340" s="1233">
        <f t="shared" si="4675"/>
        <v>0</v>
      </c>
      <c r="BY340" s="1233">
        <f t="shared" si="4637"/>
        <v>0</v>
      </c>
      <c r="BZ340" s="1233">
        <f t="shared" si="4598"/>
        <v>0</v>
      </c>
      <c r="CA340" s="208"/>
      <c r="CB340" s="208"/>
      <c r="CC340" s="208"/>
      <c r="CD340" s="211"/>
    </row>
    <row r="341" ht="18" customHeight="1">
      <c r="A341" s="207"/>
      <c r="B341" s="208"/>
      <c r="C341" s="208"/>
      <c r="D341" s="208"/>
      <c r="E341" s="208"/>
      <c r="F341" s="208"/>
      <c r="G341" s="1194"/>
      <c r="H341" s="208"/>
      <c r="I341" s="208"/>
      <c r="J341" s="208"/>
      <c r="K341" s="208"/>
      <c r="L341" s="208"/>
      <c r="M341" s="208"/>
      <c r="N341" s="208"/>
      <c r="O341" s="208"/>
      <c r="P341" s="208"/>
      <c r="Q341" s="208"/>
      <c r="R341" s="208"/>
      <c r="S341" s="208"/>
      <c r="T341" s="208"/>
      <c r="U341" s="208"/>
      <c r="V341" s="208"/>
      <c r="W341" s="208"/>
      <c r="X341" s="208"/>
      <c r="Y341" s="208"/>
      <c r="Z341" s="208"/>
      <c r="AA341" s="208"/>
      <c r="AB341" s="208"/>
      <c r="AC341" s="208"/>
      <c r="AD341" s="208"/>
      <c r="AE341" s="208"/>
      <c r="AF341" s="208"/>
      <c r="AG341" s="208"/>
      <c r="AH341" s="208"/>
      <c r="AI341" s="208"/>
      <c r="AJ341" s="208"/>
      <c r="AK341" s="208"/>
      <c r="AL341" s="208"/>
      <c r="AM341" s="208"/>
      <c r="AN341" s="208"/>
      <c r="AO341" s="208"/>
      <c r="AP341" s="208"/>
      <c r="AQ341" s="208"/>
      <c r="AR341" s="208"/>
      <c r="AS341" s="1233"/>
      <c r="AT341" s="1233"/>
      <c r="AU341" s="1233"/>
      <c r="AV341" s="1233"/>
      <c r="AW341" s="1233"/>
      <c r="AX341" s="1233"/>
      <c r="AY341" s="1233"/>
      <c r="AZ341" s="1233"/>
      <c r="BA341" s="208"/>
      <c r="BB341" s="208"/>
      <c r="BC341" s="1233">
        <f>$F$56</f>
        <v>0</v>
      </c>
      <c r="BD341" s="1233">
        <f>$F$56</f>
        <v>0</v>
      </c>
      <c r="BE341" s="1233">
        <f>$F$56</f>
        <v>0</v>
      </c>
      <c r="BF341" s="1233">
        <f>$F$56</f>
        <v>0</v>
      </c>
      <c r="BG341" s="1233">
        <f>$F$56</f>
        <v>0</v>
      </c>
      <c r="BH341" s="1233">
        <f>$F$56</f>
        <v>0</v>
      </c>
      <c r="BI341" s="1233">
        <f>$F$56</f>
        <v>0</v>
      </c>
      <c r="BJ341" s="1233">
        <f>$F$56</f>
        <v>0</v>
      </c>
      <c r="BK341" s="1233">
        <f>$F$56</f>
        <v>0</v>
      </c>
      <c r="BL341" s="1233">
        <f>$F$56</f>
        <v>0</v>
      </c>
      <c r="BM341" s="1233">
        <f>$F$56</f>
        <v>0</v>
      </c>
      <c r="BN341" s="1233">
        <f>$F$56</f>
        <v>0</v>
      </c>
      <c r="BO341" s="1233">
        <f t="shared" si="4996"/>
        <v>0</v>
      </c>
      <c r="BP341" s="1233">
        <f t="shared" si="4969"/>
        <v>0</v>
      </c>
      <c r="BQ341" s="1233">
        <f t="shared" si="4941"/>
        <v>0</v>
      </c>
      <c r="BR341" s="1233">
        <f t="shared" si="4912"/>
        <v>0</v>
      </c>
      <c r="BS341" s="1233">
        <f t="shared" si="4882"/>
        <v>0</v>
      </c>
      <c r="BT341" s="1233">
        <f t="shared" si="4851"/>
        <v>0</v>
      </c>
      <c r="BU341" s="1233">
        <f t="shared" si="4819"/>
        <v>0</v>
      </c>
      <c r="BV341" s="1233">
        <f t="shared" si="4786"/>
        <v>0</v>
      </c>
      <c r="BW341" s="1233">
        <f t="shared" si="4748"/>
        <v>0</v>
      </c>
      <c r="BX341" s="1233">
        <f t="shared" si="4712"/>
        <v>0</v>
      </c>
      <c r="BY341" s="1233">
        <f t="shared" si="4675"/>
        <v>0</v>
      </c>
      <c r="BZ341" s="1233">
        <f t="shared" si="4637"/>
        <v>0</v>
      </c>
      <c r="CA341" s="208"/>
      <c r="CB341" s="208"/>
      <c r="CC341" s="208"/>
      <c r="CD341" s="211"/>
    </row>
    <row r="342" ht="18" customHeight="1">
      <c r="A342" s="207"/>
      <c r="B342" s="208"/>
      <c r="C342" s="208"/>
      <c r="D342" s="208"/>
      <c r="E342" s="208"/>
      <c r="F342" s="208"/>
      <c r="G342" s="1194"/>
      <c r="H342" s="208"/>
      <c r="I342" s="208"/>
      <c r="J342" s="208"/>
      <c r="K342" s="208"/>
      <c r="L342" s="208"/>
      <c r="M342" s="208"/>
      <c r="N342" s="208"/>
      <c r="O342" s="208"/>
      <c r="P342" s="208"/>
      <c r="Q342" s="208"/>
      <c r="R342" s="208"/>
      <c r="S342" s="208"/>
      <c r="T342" s="208"/>
      <c r="U342" s="208"/>
      <c r="V342" s="208"/>
      <c r="W342" s="208"/>
      <c r="X342" s="208"/>
      <c r="Y342" s="208"/>
      <c r="Z342" s="208"/>
      <c r="AA342" s="208"/>
      <c r="AB342" s="208"/>
      <c r="AC342" s="208"/>
      <c r="AD342" s="208"/>
      <c r="AE342" s="208"/>
      <c r="AF342" s="208"/>
      <c r="AG342" s="208"/>
      <c r="AH342" s="208"/>
      <c r="AI342" s="208"/>
      <c r="AJ342" s="208"/>
      <c r="AK342" s="208"/>
      <c r="AL342" s="208"/>
      <c r="AM342" s="208"/>
      <c r="AN342" s="208"/>
      <c r="AO342" s="208"/>
      <c r="AP342" s="208"/>
      <c r="AQ342" s="208"/>
      <c r="AR342" s="208"/>
      <c r="AS342" s="208"/>
      <c r="AT342" s="1233"/>
      <c r="AU342" s="1233"/>
      <c r="AV342" s="1233"/>
      <c r="AW342" s="1233"/>
      <c r="AX342" s="1233"/>
      <c r="AY342" s="1233"/>
      <c r="AZ342" s="1233"/>
      <c r="BA342" s="208"/>
      <c r="BB342" s="208"/>
      <c r="BC342" s="208"/>
      <c r="BD342" s="1233">
        <f>$F$56</f>
        <v>0</v>
      </c>
      <c r="BE342" s="1233">
        <f>$F$56</f>
        <v>0</v>
      </c>
      <c r="BF342" s="1233">
        <f>$F$56</f>
        <v>0</v>
      </c>
      <c r="BG342" s="1233">
        <f>$F$56</f>
        <v>0</v>
      </c>
      <c r="BH342" s="1233">
        <f>$F$56</f>
        <v>0</v>
      </c>
      <c r="BI342" s="1233">
        <f>$F$56</f>
        <v>0</v>
      </c>
      <c r="BJ342" s="1233">
        <f>$F$56</f>
        <v>0</v>
      </c>
      <c r="BK342" s="1233">
        <f>$F$56</f>
        <v>0</v>
      </c>
      <c r="BL342" s="1233">
        <f>$F$56</f>
        <v>0</v>
      </c>
      <c r="BM342" s="1233">
        <f>$F$56</f>
        <v>0</v>
      </c>
      <c r="BN342" s="1233">
        <f>$F$56</f>
        <v>0</v>
      </c>
      <c r="BO342" s="1233">
        <f>$F$56</f>
        <v>0</v>
      </c>
      <c r="BP342" s="1233">
        <f t="shared" si="4996"/>
        <v>0</v>
      </c>
      <c r="BQ342" s="1233">
        <f t="shared" si="4969"/>
        <v>0</v>
      </c>
      <c r="BR342" s="1233">
        <f t="shared" si="4941"/>
        <v>0</v>
      </c>
      <c r="BS342" s="1233">
        <f t="shared" si="4912"/>
        <v>0</v>
      </c>
      <c r="BT342" s="1233">
        <f t="shared" si="4882"/>
        <v>0</v>
      </c>
      <c r="BU342" s="1233">
        <f t="shared" si="4851"/>
        <v>0</v>
      </c>
      <c r="BV342" s="1233">
        <f t="shared" si="4819"/>
        <v>0</v>
      </c>
      <c r="BW342" s="1233">
        <f t="shared" si="4786"/>
        <v>0</v>
      </c>
      <c r="BX342" s="1233">
        <f t="shared" si="4748"/>
        <v>0</v>
      </c>
      <c r="BY342" s="1233">
        <f t="shared" si="4712"/>
        <v>0</v>
      </c>
      <c r="BZ342" s="1233">
        <f t="shared" si="4675"/>
        <v>0</v>
      </c>
      <c r="CA342" s="208"/>
      <c r="CB342" s="208"/>
      <c r="CC342" s="208"/>
      <c r="CD342" s="211"/>
    </row>
    <row r="343" ht="18" customHeight="1">
      <c r="A343" s="207"/>
      <c r="B343" s="208"/>
      <c r="C343" s="208"/>
      <c r="D343" s="208"/>
      <c r="E343" s="208"/>
      <c r="F343" s="208"/>
      <c r="G343" s="1194"/>
      <c r="H343" s="208"/>
      <c r="I343" s="208"/>
      <c r="J343" s="208"/>
      <c r="K343" s="208"/>
      <c r="L343" s="208"/>
      <c r="M343" s="208"/>
      <c r="N343" s="208"/>
      <c r="O343" s="208"/>
      <c r="P343" s="208"/>
      <c r="Q343" s="208"/>
      <c r="R343" s="208"/>
      <c r="S343" s="208"/>
      <c r="T343" s="208"/>
      <c r="U343" s="208"/>
      <c r="V343" s="208"/>
      <c r="W343" s="208"/>
      <c r="X343" s="208"/>
      <c r="Y343" s="208"/>
      <c r="Z343" s="208"/>
      <c r="AA343" s="208"/>
      <c r="AB343" s="208"/>
      <c r="AC343" s="208"/>
      <c r="AD343" s="208"/>
      <c r="AE343" s="208"/>
      <c r="AF343" s="208"/>
      <c r="AG343" s="208"/>
      <c r="AH343" s="208"/>
      <c r="AI343" s="208"/>
      <c r="AJ343" s="208"/>
      <c r="AK343" s="208"/>
      <c r="AL343" s="208"/>
      <c r="AM343" s="208"/>
      <c r="AN343" s="208"/>
      <c r="AO343" s="208"/>
      <c r="AP343" s="208"/>
      <c r="AQ343" s="208"/>
      <c r="AR343" s="208"/>
      <c r="AS343" s="208"/>
      <c r="AT343" s="208"/>
      <c r="AU343" s="1233"/>
      <c r="AV343" s="1233"/>
      <c r="AW343" s="1233"/>
      <c r="AX343" s="208"/>
      <c r="AY343" s="1233"/>
      <c r="AZ343" s="1233"/>
      <c r="BA343" s="208"/>
      <c r="BB343" s="208"/>
      <c r="BC343" s="208"/>
      <c r="BD343" s="208"/>
      <c r="BE343" s="1233">
        <f>$F$56</f>
        <v>0</v>
      </c>
      <c r="BF343" s="1233">
        <f>$F$56</f>
        <v>0</v>
      </c>
      <c r="BG343" s="1233">
        <f>$F$56</f>
        <v>0</v>
      </c>
      <c r="BH343" s="1233">
        <f>$F$56</f>
        <v>0</v>
      </c>
      <c r="BI343" s="1233">
        <f>$F$56</f>
        <v>0</v>
      </c>
      <c r="BJ343" s="1233">
        <f>$F$56</f>
        <v>0</v>
      </c>
      <c r="BK343" s="1233">
        <f>$F$56</f>
        <v>0</v>
      </c>
      <c r="BL343" s="1233">
        <f>$F$56</f>
        <v>0</v>
      </c>
      <c r="BM343" s="1233">
        <f>$F$56</f>
        <v>0</v>
      </c>
      <c r="BN343" s="1233">
        <f>$F$56</f>
        <v>0</v>
      </c>
      <c r="BO343" s="1233">
        <f>$F$56</f>
        <v>0</v>
      </c>
      <c r="BP343" s="1233">
        <f>$F$56</f>
        <v>0</v>
      </c>
      <c r="BQ343" s="1233">
        <f t="shared" si="4996"/>
        <v>0</v>
      </c>
      <c r="BR343" s="1233">
        <f t="shared" si="4969"/>
        <v>0</v>
      </c>
      <c r="BS343" s="1233">
        <f t="shared" si="4941"/>
        <v>0</v>
      </c>
      <c r="BT343" s="1233">
        <f t="shared" si="4912"/>
        <v>0</v>
      </c>
      <c r="BU343" s="1233">
        <f t="shared" si="4882"/>
        <v>0</v>
      </c>
      <c r="BV343" s="1233">
        <f t="shared" si="4851"/>
        <v>0</v>
      </c>
      <c r="BW343" s="1233">
        <f t="shared" si="4819"/>
        <v>0</v>
      </c>
      <c r="BX343" s="1233">
        <f t="shared" si="4786"/>
        <v>0</v>
      </c>
      <c r="BY343" s="1233">
        <f t="shared" si="4748"/>
        <v>0</v>
      </c>
      <c r="BZ343" s="1233">
        <f t="shared" si="4712"/>
        <v>0</v>
      </c>
      <c r="CA343" s="208"/>
      <c r="CB343" s="208"/>
      <c r="CC343" s="208"/>
      <c r="CD343" s="211"/>
    </row>
    <row r="344" ht="18" customHeight="1">
      <c r="A344" s="207"/>
      <c r="B344" s="208"/>
      <c r="C344" s="208"/>
      <c r="D344" s="208"/>
      <c r="E344" s="208"/>
      <c r="F344" s="208"/>
      <c r="G344" s="1194"/>
      <c r="H344" s="208"/>
      <c r="I344" s="208"/>
      <c r="J344" s="208"/>
      <c r="K344" s="208"/>
      <c r="L344" s="208"/>
      <c r="M344" s="208"/>
      <c r="N344" s="208"/>
      <c r="O344" s="208"/>
      <c r="P344" s="208"/>
      <c r="Q344" s="208"/>
      <c r="R344" s="208"/>
      <c r="S344" s="208"/>
      <c r="T344" s="208"/>
      <c r="U344" s="208"/>
      <c r="V344" s="208"/>
      <c r="W344" s="208"/>
      <c r="X344" s="208"/>
      <c r="Y344" s="208"/>
      <c r="Z344" s="208"/>
      <c r="AA344" s="208"/>
      <c r="AB344" s="208"/>
      <c r="AC344" s="208"/>
      <c r="AD344" s="208"/>
      <c r="AE344" s="208"/>
      <c r="AF344" s="208"/>
      <c r="AG344" s="208"/>
      <c r="AH344" s="208"/>
      <c r="AI344" s="208"/>
      <c r="AJ344" s="208"/>
      <c r="AK344" s="208"/>
      <c r="AL344" s="208"/>
      <c r="AM344" s="208"/>
      <c r="AN344" s="208"/>
      <c r="AO344" s="208"/>
      <c r="AP344" s="208"/>
      <c r="AQ344" s="208"/>
      <c r="AR344" s="208"/>
      <c r="AS344" s="208"/>
      <c r="AT344" s="208"/>
      <c r="AU344" s="208"/>
      <c r="AV344" s="1233"/>
      <c r="AW344" s="1233"/>
      <c r="AX344" s="208"/>
      <c r="AY344" s="208"/>
      <c r="AZ344" s="1233"/>
      <c r="BA344" s="208"/>
      <c r="BB344" s="208"/>
      <c r="BC344" s="208"/>
      <c r="BD344" s="208"/>
      <c r="BE344" s="208"/>
      <c r="BF344" s="1233">
        <f>$F$56</f>
        <v>0</v>
      </c>
      <c r="BG344" s="1233">
        <f>$F$56</f>
        <v>0</v>
      </c>
      <c r="BH344" s="1233">
        <f>$F$56</f>
        <v>0</v>
      </c>
      <c r="BI344" s="1233">
        <f>$F$56</f>
        <v>0</v>
      </c>
      <c r="BJ344" s="1233">
        <f>$F$56</f>
        <v>0</v>
      </c>
      <c r="BK344" s="1233">
        <f>$F$56</f>
        <v>0</v>
      </c>
      <c r="BL344" s="1233">
        <f>$F$56</f>
        <v>0</v>
      </c>
      <c r="BM344" s="1233">
        <f>$F$56</f>
        <v>0</v>
      </c>
      <c r="BN344" s="1233">
        <f>$F$56</f>
        <v>0</v>
      </c>
      <c r="BO344" s="1233">
        <f>$F$56</f>
        <v>0</v>
      </c>
      <c r="BP344" s="1233">
        <f>$F$56</f>
        <v>0</v>
      </c>
      <c r="BQ344" s="1233">
        <f>$F$56</f>
        <v>0</v>
      </c>
      <c r="BR344" s="1233">
        <f t="shared" si="4996"/>
        <v>0</v>
      </c>
      <c r="BS344" s="1233">
        <f t="shared" si="4969"/>
        <v>0</v>
      </c>
      <c r="BT344" s="1233">
        <f t="shared" si="4941"/>
        <v>0</v>
      </c>
      <c r="BU344" s="1233">
        <f t="shared" si="4912"/>
        <v>0</v>
      </c>
      <c r="BV344" s="1233">
        <f t="shared" si="4882"/>
        <v>0</v>
      </c>
      <c r="BW344" s="1233">
        <f t="shared" si="4851"/>
        <v>0</v>
      </c>
      <c r="BX344" s="1233">
        <f t="shared" si="4819"/>
        <v>0</v>
      </c>
      <c r="BY344" s="1233">
        <f t="shared" si="4786"/>
        <v>0</v>
      </c>
      <c r="BZ344" s="1233">
        <f t="shared" si="4748"/>
        <v>0</v>
      </c>
      <c r="CA344" s="208"/>
      <c r="CB344" s="208"/>
      <c r="CC344" s="208"/>
      <c r="CD344" s="211"/>
    </row>
    <row r="345" ht="18" customHeight="1">
      <c r="A345" s="207"/>
      <c r="B345" s="208"/>
      <c r="C345" s="208"/>
      <c r="D345" s="208"/>
      <c r="E345" s="208"/>
      <c r="F345" s="208"/>
      <c r="G345" s="1194"/>
      <c r="H345" s="208"/>
      <c r="I345" s="208"/>
      <c r="J345" s="208"/>
      <c r="K345" s="208"/>
      <c r="L345" s="208"/>
      <c r="M345" s="208"/>
      <c r="N345" s="208"/>
      <c r="O345" s="208"/>
      <c r="P345" s="208"/>
      <c r="Q345" s="208"/>
      <c r="R345" s="208"/>
      <c r="S345" s="208"/>
      <c r="T345" s="208"/>
      <c r="U345" s="208"/>
      <c r="V345" s="208"/>
      <c r="W345" s="208"/>
      <c r="X345" s="208"/>
      <c r="Y345" s="208"/>
      <c r="Z345" s="208"/>
      <c r="AA345" s="208"/>
      <c r="AB345" s="208"/>
      <c r="AC345" s="208"/>
      <c r="AD345" s="208"/>
      <c r="AE345" s="208"/>
      <c r="AF345" s="208"/>
      <c r="AG345" s="208"/>
      <c r="AH345" s="208"/>
      <c r="AI345" s="208"/>
      <c r="AJ345" s="208"/>
      <c r="AK345" s="208"/>
      <c r="AL345" s="208"/>
      <c r="AM345" s="208"/>
      <c r="AN345" s="208"/>
      <c r="AO345" s="208"/>
      <c r="AP345" s="208"/>
      <c r="AQ345" s="208"/>
      <c r="AR345" s="208"/>
      <c r="AS345" s="208"/>
      <c r="AT345" s="208"/>
      <c r="AU345" s="208"/>
      <c r="AV345" s="208"/>
      <c r="AW345" s="1233"/>
      <c r="AX345" s="208"/>
      <c r="AY345" s="208"/>
      <c r="AZ345" s="208"/>
      <c r="BA345" s="208"/>
      <c r="BB345" s="208"/>
      <c r="BC345" s="208"/>
      <c r="BD345" s="208"/>
      <c r="BE345" s="208"/>
      <c r="BF345" s="208"/>
      <c r="BG345" s="1233">
        <f>$F$56</f>
        <v>0</v>
      </c>
      <c r="BH345" s="1233">
        <f>$F$56</f>
        <v>0</v>
      </c>
      <c r="BI345" s="1233">
        <f>$F$56</f>
        <v>0</v>
      </c>
      <c r="BJ345" s="1233">
        <f>$F$56</f>
        <v>0</v>
      </c>
      <c r="BK345" s="1233">
        <f>$F$56</f>
        <v>0</v>
      </c>
      <c r="BL345" s="1233">
        <f>$F$56</f>
        <v>0</v>
      </c>
      <c r="BM345" s="1233">
        <f>$F$56</f>
        <v>0</v>
      </c>
      <c r="BN345" s="1233">
        <f>$F$56</f>
        <v>0</v>
      </c>
      <c r="BO345" s="1233">
        <f>$F$56</f>
        <v>0</v>
      </c>
      <c r="BP345" s="1233">
        <f>$F$56</f>
        <v>0</v>
      </c>
      <c r="BQ345" s="1233">
        <f>$F$56</f>
        <v>0</v>
      </c>
      <c r="BR345" s="1233">
        <f>$F$56</f>
        <v>0</v>
      </c>
      <c r="BS345" s="1233">
        <f t="shared" si="4996"/>
        <v>0</v>
      </c>
      <c r="BT345" s="1233">
        <f t="shared" si="4969"/>
        <v>0</v>
      </c>
      <c r="BU345" s="1233">
        <f t="shared" si="4941"/>
        <v>0</v>
      </c>
      <c r="BV345" s="1233">
        <f t="shared" si="4912"/>
        <v>0</v>
      </c>
      <c r="BW345" s="1233">
        <f t="shared" si="4882"/>
        <v>0</v>
      </c>
      <c r="BX345" s="1233">
        <f t="shared" si="4851"/>
        <v>0</v>
      </c>
      <c r="BY345" s="1233">
        <f t="shared" si="4819"/>
        <v>0</v>
      </c>
      <c r="BZ345" s="1233">
        <f t="shared" si="4786"/>
        <v>0</v>
      </c>
      <c r="CA345" s="208"/>
      <c r="CB345" s="208"/>
      <c r="CC345" s="208"/>
      <c r="CD345" s="211"/>
    </row>
    <row r="346" ht="18" customHeight="1">
      <c r="A346" s="207"/>
      <c r="B346" s="208"/>
      <c r="C346" s="208"/>
      <c r="D346" s="208"/>
      <c r="E346" s="208"/>
      <c r="F346" s="208"/>
      <c r="G346" s="1194"/>
      <c r="H346" s="208"/>
      <c r="I346" s="208"/>
      <c r="J346" s="208"/>
      <c r="K346" s="208"/>
      <c r="L346" s="208"/>
      <c r="M346" s="208"/>
      <c r="N346" s="208"/>
      <c r="O346" s="208"/>
      <c r="P346" s="208"/>
      <c r="Q346" s="208"/>
      <c r="R346" s="208"/>
      <c r="S346" s="208"/>
      <c r="T346" s="208"/>
      <c r="U346" s="208"/>
      <c r="V346" s="208"/>
      <c r="W346" s="208"/>
      <c r="X346" s="208"/>
      <c r="Y346" s="208"/>
      <c r="Z346" s="208"/>
      <c r="AA346" s="208"/>
      <c r="AB346" s="208"/>
      <c r="AC346" s="208"/>
      <c r="AD346" s="208"/>
      <c r="AE346" s="208"/>
      <c r="AF346" s="208"/>
      <c r="AG346" s="208"/>
      <c r="AH346" s="208"/>
      <c r="AI346" s="208"/>
      <c r="AJ346" s="208"/>
      <c r="AK346" s="208"/>
      <c r="AL346" s="208"/>
      <c r="AM346" s="208"/>
      <c r="AN346" s="208"/>
      <c r="AO346" s="208"/>
      <c r="AP346" s="208"/>
      <c r="AQ346" s="208"/>
      <c r="AR346" s="208"/>
      <c r="AS346" s="208"/>
      <c r="AT346" s="208"/>
      <c r="AU346" s="208"/>
      <c r="AV346" s="208"/>
      <c r="AW346" s="208"/>
      <c r="AX346" s="208"/>
      <c r="AY346" s="208"/>
      <c r="AZ346" s="208"/>
      <c r="BA346" s="208"/>
      <c r="BB346" s="208"/>
      <c r="BC346" s="208"/>
      <c r="BD346" s="208"/>
      <c r="BE346" s="208"/>
      <c r="BF346" s="208"/>
      <c r="BG346" s="1184"/>
      <c r="BH346" s="1233">
        <f>$F$56</f>
        <v>0</v>
      </c>
      <c r="BI346" s="1233">
        <f>$F$56</f>
        <v>0</v>
      </c>
      <c r="BJ346" s="1233">
        <f>$F$56</f>
        <v>0</v>
      </c>
      <c r="BK346" s="1233">
        <f>$F$56</f>
        <v>0</v>
      </c>
      <c r="BL346" s="1233">
        <f>$F$56</f>
        <v>0</v>
      </c>
      <c r="BM346" s="1233">
        <f>$F$56</f>
        <v>0</v>
      </c>
      <c r="BN346" s="1233">
        <f>$F$56</f>
        <v>0</v>
      </c>
      <c r="BO346" s="1233">
        <f>$F$56</f>
        <v>0</v>
      </c>
      <c r="BP346" s="1233">
        <f>$F$56</f>
        <v>0</v>
      </c>
      <c r="BQ346" s="1233">
        <f>$F$56</f>
        <v>0</v>
      </c>
      <c r="BR346" s="1233">
        <f>$F$56</f>
        <v>0</v>
      </c>
      <c r="BS346" s="1233">
        <f t="shared" si="5183" ref="BS346:BZ364">$F$56</f>
        <v>0</v>
      </c>
      <c r="BT346" s="1233">
        <f t="shared" si="4996"/>
        <v>0</v>
      </c>
      <c r="BU346" s="1233">
        <f t="shared" si="4969"/>
        <v>0</v>
      </c>
      <c r="BV346" s="1233">
        <f t="shared" si="4941"/>
        <v>0</v>
      </c>
      <c r="BW346" s="1233">
        <f t="shared" si="4912"/>
        <v>0</v>
      </c>
      <c r="BX346" s="1233">
        <f t="shared" si="4882"/>
        <v>0</v>
      </c>
      <c r="BY346" s="1233">
        <f t="shared" si="4851"/>
        <v>0</v>
      </c>
      <c r="BZ346" s="1233">
        <f t="shared" si="4819"/>
        <v>0</v>
      </c>
      <c r="CA346" s="208"/>
      <c r="CB346" s="208"/>
      <c r="CC346" s="208"/>
      <c r="CD346" s="211"/>
    </row>
    <row r="347" ht="18" customHeight="1">
      <c r="A347" s="207"/>
      <c r="B347" s="208"/>
      <c r="C347" s="208"/>
      <c r="D347" s="208"/>
      <c r="E347" s="208"/>
      <c r="F347" s="208"/>
      <c r="G347" s="1194"/>
      <c r="H347" s="208"/>
      <c r="I347" s="208"/>
      <c r="J347" s="208"/>
      <c r="K347" s="208"/>
      <c r="L347" s="208"/>
      <c r="M347" s="208"/>
      <c r="N347" s="208"/>
      <c r="O347" s="208"/>
      <c r="P347" s="208"/>
      <c r="Q347" s="208"/>
      <c r="R347" s="208"/>
      <c r="S347" s="208"/>
      <c r="T347" s="208"/>
      <c r="U347" s="208"/>
      <c r="V347" s="208"/>
      <c r="W347" s="208"/>
      <c r="X347" s="208"/>
      <c r="Y347" s="208"/>
      <c r="Z347" s="208"/>
      <c r="AA347" s="208"/>
      <c r="AB347" s="208"/>
      <c r="AC347" s="208"/>
      <c r="AD347" s="208"/>
      <c r="AE347" s="208"/>
      <c r="AF347" s="208"/>
      <c r="AG347" s="208"/>
      <c r="AH347" s="208"/>
      <c r="AI347" s="208"/>
      <c r="AJ347" s="208"/>
      <c r="AK347" s="208"/>
      <c r="AL347" s="208"/>
      <c r="AM347" s="208"/>
      <c r="AN347" s="208"/>
      <c r="AO347" s="208"/>
      <c r="AP347" s="208"/>
      <c r="AQ347" s="208"/>
      <c r="AR347" s="208"/>
      <c r="AS347" s="208"/>
      <c r="AT347" s="208"/>
      <c r="AU347" s="208"/>
      <c r="AV347" s="208"/>
      <c r="AW347" s="208"/>
      <c r="AX347" s="208"/>
      <c r="AY347" s="208"/>
      <c r="AZ347" s="208"/>
      <c r="BA347" s="208"/>
      <c r="BB347" s="208"/>
      <c r="BC347" s="208"/>
      <c r="BD347" s="208"/>
      <c r="BE347" s="208"/>
      <c r="BF347" s="208"/>
      <c r="BG347" s="1184"/>
      <c r="BH347" s="1184"/>
      <c r="BI347" s="1233">
        <f>$F$56</f>
        <v>0</v>
      </c>
      <c r="BJ347" s="1233">
        <f>$F$56</f>
        <v>0</v>
      </c>
      <c r="BK347" s="1233">
        <f>$F$56</f>
        <v>0</v>
      </c>
      <c r="BL347" s="1233">
        <f>$F$56</f>
        <v>0</v>
      </c>
      <c r="BM347" s="1233">
        <f>$F$56</f>
        <v>0</v>
      </c>
      <c r="BN347" s="1233">
        <f>$F$56</f>
        <v>0</v>
      </c>
      <c r="BO347" s="1233">
        <f>$F$56</f>
        <v>0</v>
      </c>
      <c r="BP347" s="1233">
        <f>$F$56</f>
        <v>0</v>
      </c>
      <c r="BQ347" s="1233">
        <f>$F$56</f>
        <v>0</v>
      </c>
      <c r="BR347" s="1233">
        <f>$F$56</f>
        <v>0</v>
      </c>
      <c r="BS347" s="1233">
        <f t="shared" si="5183"/>
        <v>0</v>
      </c>
      <c r="BT347" s="1233">
        <f t="shared" si="5183"/>
        <v>0</v>
      </c>
      <c r="BU347" s="1233">
        <f t="shared" si="4996"/>
        <v>0</v>
      </c>
      <c r="BV347" s="1233">
        <f t="shared" si="4969"/>
        <v>0</v>
      </c>
      <c r="BW347" s="1233">
        <f t="shared" si="4941"/>
        <v>0</v>
      </c>
      <c r="BX347" s="1233">
        <f t="shared" si="4912"/>
        <v>0</v>
      </c>
      <c r="BY347" s="1233">
        <f t="shared" si="4882"/>
        <v>0</v>
      </c>
      <c r="BZ347" s="1233">
        <f t="shared" si="4851"/>
        <v>0</v>
      </c>
      <c r="CA347" s="208"/>
      <c r="CB347" s="208"/>
      <c r="CC347" s="208"/>
      <c r="CD347" s="211"/>
    </row>
    <row r="348" ht="18" customHeight="1">
      <c r="A348" s="207"/>
      <c r="B348" s="208"/>
      <c r="C348" s="208"/>
      <c r="D348" s="208"/>
      <c r="E348" s="208"/>
      <c r="F348" s="208"/>
      <c r="G348" s="1194"/>
      <c r="H348" s="208"/>
      <c r="I348" s="208"/>
      <c r="J348" s="208"/>
      <c r="K348" s="208"/>
      <c r="L348" s="208"/>
      <c r="M348" s="208"/>
      <c r="N348" s="208"/>
      <c r="O348" s="208"/>
      <c r="P348" s="208"/>
      <c r="Q348" s="208"/>
      <c r="R348" s="208"/>
      <c r="S348" s="208"/>
      <c r="T348" s="208"/>
      <c r="U348" s="208"/>
      <c r="V348" s="208"/>
      <c r="W348" s="208"/>
      <c r="X348" s="208"/>
      <c r="Y348" s="208"/>
      <c r="Z348" s="208"/>
      <c r="AA348" s="208"/>
      <c r="AB348" s="208"/>
      <c r="AC348" s="208"/>
      <c r="AD348" s="208"/>
      <c r="AE348" s="208"/>
      <c r="AF348" s="208"/>
      <c r="AG348" s="208"/>
      <c r="AH348" s="208"/>
      <c r="AI348" s="208"/>
      <c r="AJ348" s="208"/>
      <c r="AK348" s="208"/>
      <c r="AL348" s="208"/>
      <c r="AM348" s="208"/>
      <c r="AN348" s="208"/>
      <c r="AO348" s="208"/>
      <c r="AP348" s="208"/>
      <c r="AQ348" s="208"/>
      <c r="AR348" s="208"/>
      <c r="AS348" s="208"/>
      <c r="AT348" s="208"/>
      <c r="AU348" s="208"/>
      <c r="AV348" s="208"/>
      <c r="AW348" s="208"/>
      <c r="AX348" s="208"/>
      <c r="AY348" s="208"/>
      <c r="AZ348" s="208"/>
      <c r="BA348" s="208"/>
      <c r="BB348" s="208"/>
      <c r="BC348" s="208"/>
      <c r="BD348" s="208"/>
      <c r="BE348" s="208"/>
      <c r="BF348" s="208"/>
      <c r="BG348" s="1184"/>
      <c r="BH348" s="1184"/>
      <c r="BI348" s="1184"/>
      <c r="BJ348" s="1233">
        <f>$F$56</f>
        <v>0</v>
      </c>
      <c r="BK348" s="1233">
        <f>$F$56</f>
        <v>0</v>
      </c>
      <c r="BL348" s="1233">
        <f>$F$56</f>
        <v>0</v>
      </c>
      <c r="BM348" s="1233">
        <f>$F$56</f>
        <v>0</v>
      </c>
      <c r="BN348" s="1233">
        <f>$F$56</f>
        <v>0</v>
      </c>
      <c r="BO348" s="1233">
        <f>$F$56</f>
        <v>0</v>
      </c>
      <c r="BP348" s="1233">
        <f>$F$56</f>
        <v>0</v>
      </c>
      <c r="BQ348" s="1233">
        <f>$F$56</f>
        <v>0</v>
      </c>
      <c r="BR348" s="1233">
        <f>$F$56</f>
        <v>0</v>
      </c>
      <c r="BS348" s="1233">
        <f t="shared" si="5183"/>
        <v>0</v>
      </c>
      <c r="BT348" s="1233">
        <f t="shared" si="5183"/>
        <v>0</v>
      </c>
      <c r="BU348" s="1233">
        <f t="shared" si="5183"/>
        <v>0</v>
      </c>
      <c r="BV348" s="1233">
        <f t="shared" si="4996"/>
        <v>0</v>
      </c>
      <c r="BW348" s="1233">
        <f t="shared" si="4969"/>
        <v>0</v>
      </c>
      <c r="BX348" s="1233">
        <f t="shared" si="4941"/>
        <v>0</v>
      </c>
      <c r="BY348" s="1233">
        <f t="shared" si="4912"/>
        <v>0</v>
      </c>
      <c r="BZ348" s="1233">
        <f t="shared" si="4882"/>
        <v>0</v>
      </c>
      <c r="CA348" s="208"/>
      <c r="CB348" s="208"/>
      <c r="CC348" s="208"/>
      <c r="CD348" s="211"/>
    </row>
    <row r="349" ht="18" customHeight="1">
      <c r="A349" s="207"/>
      <c r="B349" s="208"/>
      <c r="C349" s="208"/>
      <c r="D349" s="208"/>
      <c r="E349" s="208"/>
      <c r="F349" s="208"/>
      <c r="G349" s="1194"/>
      <c r="H349" s="208"/>
      <c r="I349" s="208"/>
      <c r="J349" s="208"/>
      <c r="K349" s="208"/>
      <c r="L349" s="208"/>
      <c r="M349" s="208"/>
      <c r="N349" s="208"/>
      <c r="O349" s="208"/>
      <c r="P349" s="208"/>
      <c r="Q349" s="208"/>
      <c r="R349" s="208"/>
      <c r="S349" s="208"/>
      <c r="T349" s="208"/>
      <c r="U349" s="208"/>
      <c r="V349" s="208"/>
      <c r="W349" s="208"/>
      <c r="X349" s="208"/>
      <c r="Y349" s="208"/>
      <c r="Z349" s="208"/>
      <c r="AA349" s="208"/>
      <c r="AB349" s="208"/>
      <c r="AC349" s="208"/>
      <c r="AD349" s="208"/>
      <c r="AE349" s="208"/>
      <c r="AF349" s="208"/>
      <c r="AG349" s="208"/>
      <c r="AH349" s="208"/>
      <c r="AI349" s="208"/>
      <c r="AJ349" s="208"/>
      <c r="AK349" s="208"/>
      <c r="AL349" s="208"/>
      <c r="AM349" s="208"/>
      <c r="AN349" s="208"/>
      <c r="AO349" s="208"/>
      <c r="AP349" s="208"/>
      <c r="AQ349" s="208"/>
      <c r="AR349" s="208"/>
      <c r="AS349" s="208"/>
      <c r="AT349" s="208"/>
      <c r="AU349" s="208"/>
      <c r="AV349" s="208"/>
      <c r="AW349" s="208"/>
      <c r="AX349" s="208"/>
      <c r="AY349" s="208"/>
      <c r="AZ349" s="208"/>
      <c r="BA349" s="208"/>
      <c r="BB349" s="208"/>
      <c r="BC349" s="208"/>
      <c r="BD349" s="208"/>
      <c r="BE349" s="208"/>
      <c r="BF349" s="208"/>
      <c r="BG349" s="1184"/>
      <c r="BH349" s="1184"/>
      <c r="BI349" s="1184"/>
      <c r="BJ349" s="1184"/>
      <c r="BK349" s="1233">
        <f>$F$56</f>
        <v>0</v>
      </c>
      <c r="BL349" s="1233">
        <f>$F$56</f>
        <v>0</v>
      </c>
      <c r="BM349" s="1233">
        <f>$F$56</f>
        <v>0</v>
      </c>
      <c r="BN349" s="1233">
        <f>$F$56</f>
        <v>0</v>
      </c>
      <c r="BO349" s="1233">
        <f>$F$56</f>
        <v>0</v>
      </c>
      <c r="BP349" s="1233">
        <f>$F$56</f>
        <v>0</v>
      </c>
      <c r="BQ349" s="1233">
        <f>$F$56</f>
        <v>0</v>
      </c>
      <c r="BR349" s="1233">
        <f>$F$56</f>
        <v>0</v>
      </c>
      <c r="BS349" s="1233">
        <f t="shared" si="5183"/>
        <v>0</v>
      </c>
      <c r="BT349" s="1233">
        <f t="shared" si="5183"/>
        <v>0</v>
      </c>
      <c r="BU349" s="1233">
        <f t="shared" si="5183"/>
        <v>0</v>
      </c>
      <c r="BV349" s="1233">
        <f t="shared" si="5183"/>
        <v>0</v>
      </c>
      <c r="BW349" s="1233">
        <f t="shared" si="4996"/>
        <v>0</v>
      </c>
      <c r="BX349" s="1233">
        <f t="shared" si="4969"/>
        <v>0</v>
      </c>
      <c r="BY349" s="1233">
        <f t="shared" si="4941"/>
        <v>0</v>
      </c>
      <c r="BZ349" s="1233">
        <f t="shared" si="4912"/>
        <v>0</v>
      </c>
      <c r="CA349" s="208"/>
      <c r="CB349" s="208"/>
      <c r="CC349" s="208"/>
      <c r="CD349" s="211"/>
    </row>
    <row r="350" ht="18" customHeight="1">
      <c r="A350" s="207"/>
      <c r="B350" s="208"/>
      <c r="C350" s="208"/>
      <c r="D350" s="208"/>
      <c r="E350" s="208"/>
      <c r="F350" s="208"/>
      <c r="G350" s="1194"/>
      <c r="H350" s="208"/>
      <c r="I350" s="208"/>
      <c r="J350" s="208"/>
      <c r="K350" s="208"/>
      <c r="L350" s="208"/>
      <c r="M350" s="208"/>
      <c r="N350" s="208"/>
      <c r="O350" s="208"/>
      <c r="P350" s="208"/>
      <c r="Q350" s="208"/>
      <c r="R350" s="208"/>
      <c r="S350" s="208"/>
      <c r="T350" s="208"/>
      <c r="U350" s="208"/>
      <c r="V350" s="208"/>
      <c r="W350" s="208"/>
      <c r="X350" s="208"/>
      <c r="Y350" s="208"/>
      <c r="Z350" s="208"/>
      <c r="AA350" s="208"/>
      <c r="AB350" s="208"/>
      <c r="AC350" s="208"/>
      <c r="AD350" s="208"/>
      <c r="AE350" s="208"/>
      <c r="AF350" s="208"/>
      <c r="AG350" s="208"/>
      <c r="AH350" s="208"/>
      <c r="AI350" s="208"/>
      <c r="AJ350" s="208"/>
      <c r="AK350" s="208"/>
      <c r="AL350" s="208"/>
      <c r="AM350" s="208"/>
      <c r="AN350" s="208"/>
      <c r="AO350" s="208"/>
      <c r="AP350" s="208"/>
      <c r="AQ350" s="208"/>
      <c r="AR350" s="208"/>
      <c r="AS350" s="208"/>
      <c r="AT350" s="208"/>
      <c r="AU350" s="208"/>
      <c r="AV350" s="208"/>
      <c r="AW350" s="208"/>
      <c r="AX350" s="208"/>
      <c r="AY350" s="208"/>
      <c r="AZ350" s="208"/>
      <c r="BA350" s="208"/>
      <c r="BB350" s="208"/>
      <c r="BC350" s="208"/>
      <c r="BD350" s="208"/>
      <c r="BE350" s="208"/>
      <c r="BF350" s="208"/>
      <c r="BG350" s="1184"/>
      <c r="BH350" s="1184"/>
      <c r="BI350" s="1184"/>
      <c r="BJ350" s="1184"/>
      <c r="BK350" s="1184"/>
      <c r="BL350" s="1233">
        <f>$F$56</f>
        <v>0</v>
      </c>
      <c r="BM350" s="1233">
        <f>$F$56</f>
        <v>0</v>
      </c>
      <c r="BN350" s="1233">
        <f>$F$56</f>
        <v>0</v>
      </c>
      <c r="BO350" s="1233">
        <f>$F$56</f>
        <v>0</v>
      </c>
      <c r="BP350" s="1233">
        <f>$F$56</f>
        <v>0</v>
      </c>
      <c r="BQ350" s="1233">
        <f>$F$56</f>
        <v>0</v>
      </c>
      <c r="BR350" s="1233">
        <f>$F$56</f>
        <v>0</v>
      </c>
      <c r="BS350" s="1233">
        <f t="shared" si="5183"/>
        <v>0</v>
      </c>
      <c r="BT350" s="1233">
        <f t="shared" si="5183"/>
        <v>0</v>
      </c>
      <c r="BU350" s="1233">
        <f t="shared" si="5183"/>
        <v>0</v>
      </c>
      <c r="BV350" s="1233">
        <f t="shared" si="5183"/>
        <v>0</v>
      </c>
      <c r="BW350" s="1233">
        <f t="shared" si="5183"/>
        <v>0</v>
      </c>
      <c r="BX350" s="1233">
        <f t="shared" si="4996"/>
        <v>0</v>
      </c>
      <c r="BY350" s="1233">
        <f t="shared" si="4969"/>
        <v>0</v>
      </c>
      <c r="BZ350" s="1233">
        <f t="shared" si="4941"/>
        <v>0</v>
      </c>
      <c r="CA350" s="208"/>
      <c r="CB350" s="208"/>
      <c r="CC350" s="208"/>
      <c r="CD350" s="211"/>
    </row>
    <row r="351" ht="18" customHeight="1">
      <c r="A351" s="207"/>
      <c r="B351" s="208"/>
      <c r="C351" s="208"/>
      <c r="D351" s="208"/>
      <c r="E351" s="208"/>
      <c r="F351" s="208"/>
      <c r="G351" s="1194"/>
      <c r="H351" s="208"/>
      <c r="I351" s="208"/>
      <c r="J351" s="208"/>
      <c r="K351" s="208"/>
      <c r="L351" s="208"/>
      <c r="M351" s="208"/>
      <c r="N351" s="208"/>
      <c r="O351" s="208"/>
      <c r="P351" s="208"/>
      <c r="Q351" s="208"/>
      <c r="R351" s="208"/>
      <c r="S351" s="208"/>
      <c r="T351" s="208"/>
      <c r="U351" s="208"/>
      <c r="V351" s="208"/>
      <c r="W351" s="208"/>
      <c r="X351" s="208"/>
      <c r="Y351" s="208"/>
      <c r="Z351" s="208"/>
      <c r="AA351" s="208"/>
      <c r="AB351" s="208"/>
      <c r="AC351" s="208"/>
      <c r="AD351" s="208"/>
      <c r="AE351" s="208"/>
      <c r="AF351" s="208"/>
      <c r="AG351" s="208"/>
      <c r="AH351" s="208"/>
      <c r="AI351" s="208"/>
      <c r="AJ351" s="208"/>
      <c r="AK351" s="208"/>
      <c r="AL351" s="208"/>
      <c r="AM351" s="208"/>
      <c r="AN351" s="208"/>
      <c r="AO351" s="208"/>
      <c r="AP351" s="208"/>
      <c r="AQ351" s="208"/>
      <c r="AR351" s="208"/>
      <c r="AS351" s="208"/>
      <c r="AT351" s="208"/>
      <c r="AU351" s="208"/>
      <c r="AV351" s="208"/>
      <c r="AW351" s="208"/>
      <c r="AX351" s="208"/>
      <c r="AY351" s="208"/>
      <c r="AZ351" s="208"/>
      <c r="BA351" s="208"/>
      <c r="BB351" s="208"/>
      <c r="BC351" s="208"/>
      <c r="BD351" s="208"/>
      <c r="BE351" s="208"/>
      <c r="BF351" s="208"/>
      <c r="BG351" s="1184"/>
      <c r="BH351" s="1184"/>
      <c r="BI351" s="1184"/>
      <c r="BJ351" s="1184"/>
      <c r="BK351" s="1184"/>
      <c r="BL351" s="1184"/>
      <c r="BM351" s="1233">
        <f>$F$56</f>
        <v>0</v>
      </c>
      <c r="BN351" s="1233">
        <f>$F$56</f>
        <v>0</v>
      </c>
      <c r="BO351" s="1233">
        <f>$F$56</f>
        <v>0</v>
      </c>
      <c r="BP351" s="1233">
        <f>$F$56</f>
        <v>0</v>
      </c>
      <c r="BQ351" s="1233">
        <f>$F$56</f>
        <v>0</v>
      </c>
      <c r="BR351" s="1233">
        <f>$F$56</f>
        <v>0</v>
      </c>
      <c r="BS351" s="1233">
        <f t="shared" si="5183"/>
        <v>0</v>
      </c>
      <c r="BT351" s="1233">
        <f t="shared" si="5183"/>
        <v>0</v>
      </c>
      <c r="BU351" s="1233">
        <f t="shared" si="5183"/>
        <v>0</v>
      </c>
      <c r="BV351" s="1233">
        <f t="shared" si="5183"/>
        <v>0</v>
      </c>
      <c r="BW351" s="1233">
        <f t="shared" si="5183"/>
        <v>0</v>
      </c>
      <c r="BX351" s="1233">
        <f t="shared" si="5183"/>
        <v>0</v>
      </c>
      <c r="BY351" s="1233">
        <f t="shared" si="4996"/>
        <v>0</v>
      </c>
      <c r="BZ351" s="1233">
        <f t="shared" si="4969"/>
        <v>0</v>
      </c>
      <c r="CA351" s="208"/>
      <c r="CB351" s="208"/>
      <c r="CC351" s="208"/>
      <c r="CD351" s="211"/>
    </row>
    <row r="352" ht="18" customHeight="1">
      <c r="A352" s="207"/>
      <c r="B352" s="208"/>
      <c r="C352" s="208"/>
      <c r="D352" s="208"/>
      <c r="E352" s="208"/>
      <c r="F352" s="208"/>
      <c r="G352" s="1194"/>
      <c r="H352" s="208"/>
      <c r="I352" s="208"/>
      <c r="J352" s="208"/>
      <c r="K352" s="208"/>
      <c r="L352" s="208"/>
      <c r="M352" s="208"/>
      <c r="N352" s="208"/>
      <c r="O352" s="208"/>
      <c r="P352" s="208"/>
      <c r="Q352" s="208"/>
      <c r="R352" s="208"/>
      <c r="S352" s="208"/>
      <c r="T352" s="208"/>
      <c r="U352" s="208"/>
      <c r="V352" s="208"/>
      <c r="W352" s="208"/>
      <c r="X352" s="208"/>
      <c r="Y352" s="208"/>
      <c r="Z352" s="208"/>
      <c r="AA352" s="208"/>
      <c r="AB352" s="208"/>
      <c r="AC352" s="208"/>
      <c r="AD352" s="208"/>
      <c r="AE352" s="208"/>
      <c r="AF352" s="208"/>
      <c r="AG352" s="208"/>
      <c r="AH352" s="208"/>
      <c r="AI352" s="208"/>
      <c r="AJ352" s="208"/>
      <c r="AK352" s="208"/>
      <c r="AL352" s="208"/>
      <c r="AM352" s="208"/>
      <c r="AN352" s="208"/>
      <c r="AO352" s="208"/>
      <c r="AP352" s="208"/>
      <c r="AQ352" s="208"/>
      <c r="AR352" s="208"/>
      <c r="AS352" s="208"/>
      <c r="AT352" s="208"/>
      <c r="AU352" s="208"/>
      <c r="AV352" s="208"/>
      <c r="AW352" s="208"/>
      <c r="AX352" s="208"/>
      <c r="AY352" s="208"/>
      <c r="AZ352" s="208"/>
      <c r="BA352" s="208"/>
      <c r="BB352" s="208"/>
      <c r="BC352" s="208"/>
      <c r="BD352" s="208"/>
      <c r="BE352" s="208"/>
      <c r="BF352" s="208"/>
      <c r="BG352" s="1184"/>
      <c r="BH352" s="1184"/>
      <c r="BI352" s="1184"/>
      <c r="BJ352" s="1184"/>
      <c r="BK352" s="1184"/>
      <c r="BL352" s="1184"/>
      <c r="BM352" s="1184"/>
      <c r="BN352" s="1233">
        <f>$F$56</f>
        <v>0</v>
      </c>
      <c r="BO352" s="1233">
        <f>$F$56</f>
        <v>0</v>
      </c>
      <c r="BP352" s="1233">
        <f>$F$56</f>
        <v>0</v>
      </c>
      <c r="BQ352" s="1233">
        <f>$F$56</f>
        <v>0</v>
      </c>
      <c r="BR352" s="1233">
        <f>$F$56</f>
        <v>0</v>
      </c>
      <c r="BS352" s="1233">
        <f t="shared" si="5183"/>
        <v>0</v>
      </c>
      <c r="BT352" s="1233">
        <f t="shared" si="5183"/>
        <v>0</v>
      </c>
      <c r="BU352" s="1233">
        <f t="shared" si="5183"/>
        <v>0</v>
      </c>
      <c r="BV352" s="1233">
        <f t="shared" si="5183"/>
        <v>0</v>
      </c>
      <c r="BW352" s="1233">
        <f t="shared" si="5183"/>
        <v>0</v>
      </c>
      <c r="BX352" s="1233">
        <f t="shared" si="5183"/>
        <v>0</v>
      </c>
      <c r="BY352" s="1233">
        <f t="shared" si="5183"/>
        <v>0</v>
      </c>
      <c r="BZ352" s="1233">
        <f t="shared" si="4996"/>
        <v>0</v>
      </c>
      <c r="CA352" s="208"/>
      <c r="CB352" s="208"/>
      <c r="CC352" s="208"/>
      <c r="CD352" s="211"/>
    </row>
    <row r="353" ht="18" customHeight="1">
      <c r="A353" s="207"/>
      <c r="B353" s="208"/>
      <c r="C353" s="208"/>
      <c r="D353" s="208"/>
      <c r="E353" s="208"/>
      <c r="F353" s="208"/>
      <c r="G353" s="1194"/>
      <c r="H353" s="208"/>
      <c r="I353" s="208"/>
      <c r="J353" s="208"/>
      <c r="K353" s="208"/>
      <c r="L353" s="208"/>
      <c r="M353" s="208"/>
      <c r="N353" s="208"/>
      <c r="O353" s="208"/>
      <c r="P353" s="208"/>
      <c r="Q353" s="208"/>
      <c r="R353" s="208"/>
      <c r="S353" s="208"/>
      <c r="T353" s="208"/>
      <c r="U353" s="208"/>
      <c r="V353" s="208"/>
      <c r="W353" s="208"/>
      <c r="X353" s="208"/>
      <c r="Y353" s="208"/>
      <c r="Z353" s="208"/>
      <c r="AA353" s="208"/>
      <c r="AB353" s="208"/>
      <c r="AC353" s="208"/>
      <c r="AD353" s="208"/>
      <c r="AE353" s="208"/>
      <c r="AF353" s="208"/>
      <c r="AG353" s="208"/>
      <c r="AH353" s="208"/>
      <c r="AI353" s="208"/>
      <c r="AJ353" s="208"/>
      <c r="AK353" s="208"/>
      <c r="AL353" s="208"/>
      <c r="AM353" s="208"/>
      <c r="AN353" s="208"/>
      <c r="AO353" s="208"/>
      <c r="AP353" s="208"/>
      <c r="AQ353" s="208"/>
      <c r="AR353" s="208"/>
      <c r="AS353" s="208"/>
      <c r="AT353" s="208"/>
      <c r="AU353" s="208"/>
      <c r="AV353" s="208"/>
      <c r="AW353" s="208"/>
      <c r="AX353" s="208"/>
      <c r="AY353" s="208"/>
      <c r="AZ353" s="208"/>
      <c r="BA353" s="208"/>
      <c r="BB353" s="208"/>
      <c r="BC353" s="208"/>
      <c r="BD353" s="208"/>
      <c r="BE353" s="208"/>
      <c r="BF353" s="208"/>
      <c r="BG353" s="1184"/>
      <c r="BH353" s="1184"/>
      <c r="BI353" s="1184"/>
      <c r="BJ353" s="1184"/>
      <c r="BK353" s="1184"/>
      <c r="BL353" s="1184"/>
      <c r="BM353" s="1184"/>
      <c r="BN353" s="1184"/>
      <c r="BO353" s="1233">
        <f>$F$56</f>
        <v>0</v>
      </c>
      <c r="BP353" s="1233">
        <f>$F$56</f>
        <v>0</v>
      </c>
      <c r="BQ353" s="1233">
        <f>$F$56</f>
        <v>0</v>
      </c>
      <c r="BR353" s="1233">
        <f>$F$56</f>
        <v>0</v>
      </c>
      <c r="BS353" s="1233">
        <f t="shared" si="5183"/>
        <v>0</v>
      </c>
      <c r="BT353" s="1233">
        <f t="shared" si="5183"/>
        <v>0</v>
      </c>
      <c r="BU353" s="1233">
        <f t="shared" si="5183"/>
        <v>0</v>
      </c>
      <c r="BV353" s="1233">
        <f t="shared" si="5183"/>
        <v>0</v>
      </c>
      <c r="BW353" s="1233">
        <f t="shared" si="5183"/>
        <v>0</v>
      </c>
      <c r="BX353" s="1233">
        <f t="shared" si="5183"/>
        <v>0</v>
      </c>
      <c r="BY353" s="1233">
        <f t="shared" si="5183"/>
        <v>0</v>
      </c>
      <c r="BZ353" s="1233">
        <f t="shared" si="5183"/>
        <v>0</v>
      </c>
      <c r="CA353" s="208"/>
      <c r="CB353" s="208"/>
      <c r="CC353" s="208"/>
      <c r="CD353" s="211"/>
    </row>
    <row r="354" ht="18" customHeight="1">
      <c r="A354" s="207"/>
      <c r="B354" s="208"/>
      <c r="C354" s="208"/>
      <c r="D354" s="208"/>
      <c r="E354" s="208"/>
      <c r="F354" s="208"/>
      <c r="G354" s="1194"/>
      <c r="H354" s="208"/>
      <c r="I354" s="208"/>
      <c r="J354" s="208"/>
      <c r="K354" s="208"/>
      <c r="L354" s="208"/>
      <c r="M354" s="208"/>
      <c r="N354" s="208"/>
      <c r="O354" s="208"/>
      <c r="P354" s="208"/>
      <c r="Q354" s="208"/>
      <c r="R354" s="208"/>
      <c r="S354" s="208"/>
      <c r="T354" s="208"/>
      <c r="U354" s="208"/>
      <c r="V354" s="208"/>
      <c r="W354" s="208"/>
      <c r="X354" s="208"/>
      <c r="Y354" s="208"/>
      <c r="Z354" s="208"/>
      <c r="AA354" s="208"/>
      <c r="AB354" s="208"/>
      <c r="AC354" s="208"/>
      <c r="AD354" s="208"/>
      <c r="AE354" s="208"/>
      <c r="AF354" s="208"/>
      <c r="AG354" s="208"/>
      <c r="AH354" s="208"/>
      <c r="AI354" s="208"/>
      <c r="AJ354" s="208"/>
      <c r="AK354" s="208"/>
      <c r="AL354" s="208"/>
      <c r="AM354" s="208"/>
      <c r="AN354" s="208"/>
      <c r="AO354" s="208"/>
      <c r="AP354" s="208"/>
      <c r="AQ354" s="208"/>
      <c r="AR354" s="208"/>
      <c r="AS354" s="208"/>
      <c r="AT354" s="208"/>
      <c r="AU354" s="208"/>
      <c r="AV354" s="208"/>
      <c r="AW354" s="208"/>
      <c r="AX354" s="208"/>
      <c r="AY354" s="208"/>
      <c r="AZ354" s="208"/>
      <c r="BA354" s="208"/>
      <c r="BB354" s="208"/>
      <c r="BC354" s="208"/>
      <c r="BD354" s="208"/>
      <c r="BE354" s="208"/>
      <c r="BF354" s="208"/>
      <c r="BG354" s="1184"/>
      <c r="BH354" s="1184"/>
      <c r="BI354" s="1184"/>
      <c r="BJ354" s="1184"/>
      <c r="BK354" s="1184"/>
      <c r="BL354" s="1184"/>
      <c r="BM354" s="1184"/>
      <c r="BN354" s="1184"/>
      <c r="BO354" s="1184"/>
      <c r="BP354" s="1233">
        <f>$F$56</f>
        <v>0</v>
      </c>
      <c r="BQ354" s="1233">
        <f>$F$56</f>
        <v>0</v>
      </c>
      <c r="BR354" s="1233">
        <f>$F$56</f>
        <v>0</v>
      </c>
      <c r="BS354" s="1233">
        <f t="shared" si="5183"/>
        <v>0</v>
      </c>
      <c r="BT354" s="1233">
        <f t="shared" si="5183"/>
        <v>0</v>
      </c>
      <c r="BU354" s="1233">
        <f t="shared" si="5183"/>
        <v>0</v>
      </c>
      <c r="BV354" s="1233">
        <f t="shared" si="5183"/>
        <v>0</v>
      </c>
      <c r="BW354" s="1233">
        <f t="shared" si="5183"/>
        <v>0</v>
      </c>
      <c r="BX354" s="1233">
        <f t="shared" si="5183"/>
        <v>0</v>
      </c>
      <c r="BY354" s="1233">
        <f t="shared" si="5183"/>
        <v>0</v>
      </c>
      <c r="BZ354" s="1233">
        <f t="shared" si="5183"/>
        <v>0</v>
      </c>
      <c r="CA354" s="208"/>
      <c r="CB354" s="208"/>
      <c r="CC354" s="208"/>
      <c r="CD354" s="211"/>
    </row>
    <row r="355" ht="18" customHeight="1">
      <c r="A355" s="207"/>
      <c r="B355" s="208"/>
      <c r="C355" s="208"/>
      <c r="D355" s="208"/>
      <c r="E355" s="208"/>
      <c r="F355" s="208"/>
      <c r="G355" s="1194"/>
      <c r="H355" s="208"/>
      <c r="I355" s="208"/>
      <c r="J355" s="208"/>
      <c r="K355" s="208"/>
      <c r="L355" s="208"/>
      <c r="M355" s="208"/>
      <c r="N355" s="208"/>
      <c r="O355" s="208"/>
      <c r="P355" s="208"/>
      <c r="Q355" s="208"/>
      <c r="R355" s="208"/>
      <c r="S355" s="208"/>
      <c r="T355" s="208"/>
      <c r="U355" s="208"/>
      <c r="V355" s="208"/>
      <c r="W355" s="208"/>
      <c r="X355" s="208"/>
      <c r="Y355" s="208"/>
      <c r="Z355" s="208"/>
      <c r="AA355" s="208"/>
      <c r="AB355" s="208"/>
      <c r="AC355" s="208"/>
      <c r="AD355" s="208"/>
      <c r="AE355" s="208"/>
      <c r="AF355" s="208"/>
      <c r="AG355" s="208"/>
      <c r="AH355" s="208"/>
      <c r="AI355" s="208"/>
      <c r="AJ355" s="208"/>
      <c r="AK355" s="208"/>
      <c r="AL355" s="208"/>
      <c r="AM355" s="208"/>
      <c r="AN355" s="208"/>
      <c r="AO355" s="208"/>
      <c r="AP355" s="208"/>
      <c r="AQ355" s="208"/>
      <c r="AR355" s="208"/>
      <c r="AS355" s="208"/>
      <c r="AT355" s="208"/>
      <c r="AU355" s="208"/>
      <c r="AV355" s="208"/>
      <c r="AW355" s="208"/>
      <c r="AX355" s="208"/>
      <c r="AY355" s="208"/>
      <c r="AZ355" s="208"/>
      <c r="BA355" s="208"/>
      <c r="BB355" s="208"/>
      <c r="BC355" s="208"/>
      <c r="BD355" s="208"/>
      <c r="BE355" s="208"/>
      <c r="BF355" s="208"/>
      <c r="BG355" s="1184"/>
      <c r="BH355" s="1184"/>
      <c r="BI355" s="1184"/>
      <c r="BJ355" s="1184"/>
      <c r="BK355" s="1184"/>
      <c r="BL355" s="1184"/>
      <c r="BM355" s="1184"/>
      <c r="BN355" s="1184"/>
      <c r="BO355" s="1184"/>
      <c r="BP355" s="1184"/>
      <c r="BQ355" s="1233">
        <f>$F$56</f>
        <v>0</v>
      </c>
      <c r="BR355" s="1233">
        <f>$F$56</f>
        <v>0</v>
      </c>
      <c r="BS355" s="1233">
        <f t="shared" si="5183"/>
        <v>0</v>
      </c>
      <c r="BT355" s="1233">
        <f t="shared" si="5183"/>
        <v>0</v>
      </c>
      <c r="BU355" s="1233">
        <f t="shared" si="5183"/>
        <v>0</v>
      </c>
      <c r="BV355" s="1233">
        <f t="shared" si="5183"/>
        <v>0</v>
      </c>
      <c r="BW355" s="1233">
        <f t="shared" si="5183"/>
        <v>0</v>
      </c>
      <c r="BX355" s="1233">
        <f t="shared" si="5183"/>
        <v>0</v>
      </c>
      <c r="BY355" s="1233">
        <f t="shared" si="5183"/>
        <v>0</v>
      </c>
      <c r="BZ355" s="1233">
        <f t="shared" si="5183"/>
        <v>0</v>
      </c>
      <c r="CA355" s="208"/>
      <c r="CB355" s="208"/>
      <c r="CC355" s="208"/>
      <c r="CD355" s="211"/>
    </row>
    <row r="356" ht="18" customHeight="1">
      <c r="A356" s="207"/>
      <c r="B356" s="208"/>
      <c r="C356" s="208"/>
      <c r="D356" s="208"/>
      <c r="E356" s="208"/>
      <c r="F356" s="208"/>
      <c r="G356" s="1194"/>
      <c r="H356" s="208"/>
      <c r="I356" s="208"/>
      <c r="J356" s="208"/>
      <c r="K356" s="208"/>
      <c r="L356" s="208"/>
      <c r="M356" s="208"/>
      <c r="N356" s="208"/>
      <c r="O356" s="208"/>
      <c r="P356" s="208"/>
      <c r="Q356" s="208"/>
      <c r="R356" s="208"/>
      <c r="S356" s="208"/>
      <c r="T356" s="208"/>
      <c r="U356" s="208"/>
      <c r="V356" s="208"/>
      <c r="W356" s="208"/>
      <c r="X356" s="208"/>
      <c r="Y356" s="208"/>
      <c r="Z356" s="208"/>
      <c r="AA356" s="208"/>
      <c r="AB356" s="208"/>
      <c r="AC356" s="208"/>
      <c r="AD356" s="208"/>
      <c r="AE356" s="208"/>
      <c r="AF356" s="208"/>
      <c r="AG356" s="208"/>
      <c r="AH356" s="208"/>
      <c r="AI356" s="208"/>
      <c r="AJ356" s="208"/>
      <c r="AK356" s="208"/>
      <c r="AL356" s="208"/>
      <c r="AM356" s="208"/>
      <c r="AN356" s="208"/>
      <c r="AO356" s="208"/>
      <c r="AP356" s="208"/>
      <c r="AQ356" s="208"/>
      <c r="AR356" s="208"/>
      <c r="AS356" s="208"/>
      <c r="AT356" s="208"/>
      <c r="AU356" s="208"/>
      <c r="AV356" s="208"/>
      <c r="AW356" s="208"/>
      <c r="AX356" s="208"/>
      <c r="AY356" s="208"/>
      <c r="AZ356" s="208"/>
      <c r="BA356" s="208"/>
      <c r="BB356" s="208"/>
      <c r="BC356" s="208"/>
      <c r="BD356" s="208"/>
      <c r="BE356" s="208"/>
      <c r="BF356" s="208"/>
      <c r="BG356" s="1184"/>
      <c r="BH356" s="1184"/>
      <c r="BI356" s="1184"/>
      <c r="BJ356" s="1184"/>
      <c r="BK356" s="1184"/>
      <c r="BL356" s="1184"/>
      <c r="BM356" s="1184"/>
      <c r="BN356" s="1184"/>
      <c r="BO356" s="1184"/>
      <c r="BP356" s="1184"/>
      <c r="BQ356" s="1184"/>
      <c r="BR356" s="1233">
        <f>$F$56</f>
        <v>0</v>
      </c>
      <c r="BS356" s="1233">
        <f t="shared" si="5183"/>
        <v>0</v>
      </c>
      <c r="BT356" s="1233">
        <f t="shared" si="5183"/>
        <v>0</v>
      </c>
      <c r="BU356" s="1233">
        <f t="shared" si="5183"/>
        <v>0</v>
      </c>
      <c r="BV356" s="1233">
        <f t="shared" si="5183"/>
        <v>0</v>
      </c>
      <c r="BW356" s="1233">
        <f t="shared" si="5183"/>
        <v>0</v>
      </c>
      <c r="BX356" s="1233">
        <f t="shared" si="5183"/>
        <v>0</v>
      </c>
      <c r="BY356" s="1233">
        <f t="shared" si="5183"/>
        <v>0</v>
      </c>
      <c r="BZ356" s="1233">
        <f t="shared" si="5183"/>
        <v>0</v>
      </c>
      <c r="CA356" s="208"/>
      <c r="CB356" s="208"/>
      <c r="CC356" s="208"/>
      <c r="CD356" s="211"/>
    </row>
    <row r="357" ht="18" customHeight="1">
      <c r="A357" s="207"/>
      <c r="B357" s="208"/>
      <c r="C357" s="208"/>
      <c r="D357" s="208"/>
      <c r="E357" s="208"/>
      <c r="F357" s="208"/>
      <c r="G357" s="1194"/>
      <c r="H357" s="208"/>
      <c r="I357" s="208"/>
      <c r="J357" s="208"/>
      <c r="K357" s="208"/>
      <c r="L357" s="208"/>
      <c r="M357" s="208"/>
      <c r="N357" s="208"/>
      <c r="O357" s="208"/>
      <c r="P357" s="208"/>
      <c r="Q357" s="208"/>
      <c r="R357" s="208"/>
      <c r="S357" s="208"/>
      <c r="T357" s="208"/>
      <c r="U357" s="208"/>
      <c r="V357" s="208"/>
      <c r="W357" s="208"/>
      <c r="X357" s="208"/>
      <c r="Y357" s="208"/>
      <c r="Z357" s="208"/>
      <c r="AA357" s="208"/>
      <c r="AB357" s="208"/>
      <c r="AC357" s="208"/>
      <c r="AD357" s="208"/>
      <c r="AE357" s="208"/>
      <c r="AF357" s="208"/>
      <c r="AG357" s="208"/>
      <c r="AH357" s="208"/>
      <c r="AI357" s="208"/>
      <c r="AJ357" s="208"/>
      <c r="AK357" s="208"/>
      <c r="AL357" s="208"/>
      <c r="AM357" s="208"/>
      <c r="AN357" s="208"/>
      <c r="AO357" s="208"/>
      <c r="AP357" s="208"/>
      <c r="AQ357" s="208"/>
      <c r="AR357" s="208"/>
      <c r="AS357" s="208"/>
      <c r="AT357" s="208"/>
      <c r="AU357" s="208"/>
      <c r="AV357" s="208"/>
      <c r="AW357" s="208"/>
      <c r="AX357" s="208"/>
      <c r="AY357" s="208"/>
      <c r="AZ357" s="208"/>
      <c r="BA357" s="208"/>
      <c r="BB357" s="208"/>
      <c r="BC357" s="208"/>
      <c r="BD357" s="208"/>
      <c r="BE357" s="208"/>
      <c r="BF357" s="208"/>
      <c r="BG357" s="1184"/>
      <c r="BH357" s="1184"/>
      <c r="BI357" s="1184"/>
      <c r="BJ357" s="1184"/>
      <c r="BK357" s="1184"/>
      <c r="BL357" s="1184"/>
      <c r="BM357" s="1184"/>
      <c r="BN357" s="1184"/>
      <c r="BO357" s="1184"/>
      <c r="BP357" s="1184"/>
      <c r="BQ357" s="1184"/>
      <c r="BR357" s="1184"/>
      <c r="BS357" s="1233">
        <f t="shared" si="5183"/>
        <v>0</v>
      </c>
      <c r="BT357" s="1233">
        <f t="shared" si="5183"/>
        <v>0</v>
      </c>
      <c r="BU357" s="1233">
        <f t="shared" si="5183"/>
        <v>0</v>
      </c>
      <c r="BV357" s="1233">
        <f t="shared" si="5183"/>
        <v>0</v>
      </c>
      <c r="BW357" s="1233">
        <f t="shared" si="5183"/>
        <v>0</v>
      </c>
      <c r="BX357" s="1233">
        <f t="shared" si="5183"/>
        <v>0</v>
      </c>
      <c r="BY357" s="1233">
        <f t="shared" si="5183"/>
        <v>0</v>
      </c>
      <c r="BZ357" s="1233">
        <f t="shared" si="5183"/>
        <v>0</v>
      </c>
      <c r="CA357" s="208"/>
      <c r="CB357" s="208"/>
      <c r="CC357" s="208"/>
      <c r="CD357" s="211"/>
    </row>
    <row r="358" ht="18" customHeight="1">
      <c r="A358" s="207"/>
      <c r="B358" s="208"/>
      <c r="C358" s="208"/>
      <c r="D358" s="208"/>
      <c r="E358" s="208"/>
      <c r="F358" s="208"/>
      <c r="G358" s="1194"/>
      <c r="H358" s="208"/>
      <c r="I358" s="208"/>
      <c r="J358" s="208"/>
      <c r="K358" s="208"/>
      <c r="L358" s="208"/>
      <c r="M358" s="208"/>
      <c r="N358" s="208"/>
      <c r="O358" s="208"/>
      <c r="P358" s="208"/>
      <c r="Q358" s="208"/>
      <c r="R358" s="208"/>
      <c r="S358" s="208"/>
      <c r="T358" s="208"/>
      <c r="U358" s="208"/>
      <c r="V358" s="208"/>
      <c r="W358" s="208"/>
      <c r="X358" s="208"/>
      <c r="Y358" s="208"/>
      <c r="Z358" s="208"/>
      <c r="AA358" s="208"/>
      <c r="AB358" s="208"/>
      <c r="AC358" s="208"/>
      <c r="AD358" s="208"/>
      <c r="AE358" s="208"/>
      <c r="AF358" s="208"/>
      <c r="AG358" s="208"/>
      <c r="AH358" s="208"/>
      <c r="AI358" s="208"/>
      <c r="AJ358" s="208"/>
      <c r="AK358" s="208"/>
      <c r="AL358" s="208"/>
      <c r="AM358" s="208"/>
      <c r="AN358" s="208"/>
      <c r="AO358" s="208"/>
      <c r="AP358" s="208"/>
      <c r="AQ358" s="208"/>
      <c r="AR358" s="208"/>
      <c r="AS358" s="208"/>
      <c r="AT358" s="208"/>
      <c r="AU358" s="208"/>
      <c r="AV358" s="208"/>
      <c r="AW358" s="208"/>
      <c r="AX358" s="208"/>
      <c r="AY358" s="208"/>
      <c r="AZ358" s="208"/>
      <c r="BA358" s="208"/>
      <c r="BB358" s="208"/>
      <c r="BC358" s="208"/>
      <c r="BD358" s="208"/>
      <c r="BE358" s="208"/>
      <c r="BF358" s="208"/>
      <c r="BG358" s="1184"/>
      <c r="BH358" s="1184"/>
      <c r="BI358" s="1184"/>
      <c r="BJ358" s="1184"/>
      <c r="BK358" s="1184"/>
      <c r="BL358" s="1184"/>
      <c r="BM358" s="1184"/>
      <c r="BN358" s="1184"/>
      <c r="BO358" s="1184"/>
      <c r="BP358" s="1184"/>
      <c r="BQ358" s="1184"/>
      <c r="BR358" s="1184"/>
      <c r="BS358" s="1184"/>
      <c r="BT358" s="1233">
        <f t="shared" si="5183"/>
        <v>0</v>
      </c>
      <c r="BU358" s="1233">
        <f t="shared" si="5183"/>
        <v>0</v>
      </c>
      <c r="BV358" s="1233">
        <f t="shared" si="5183"/>
        <v>0</v>
      </c>
      <c r="BW358" s="1233">
        <f t="shared" si="5183"/>
        <v>0</v>
      </c>
      <c r="BX358" s="1233">
        <f t="shared" si="5183"/>
        <v>0</v>
      </c>
      <c r="BY358" s="1233">
        <f t="shared" si="5183"/>
        <v>0</v>
      </c>
      <c r="BZ358" s="1233">
        <f t="shared" si="5183"/>
        <v>0</v>
      </c>
      <c r="CA358" s="208"/>
      <c r="CB358" s="208"/>
      <c r="CC358" s="208"/>
      <c r="CD358" s="211"/>
    </row>
    <row r="359" ht="18" customHeight="1">
      <c r="A359" s="207"/>
      <c r="B359" s="208"/>
      <c r="C359" s="208"/>
      <c r="D359" s="208"/>
      <c r="E359" s="208"/>
      <c r="F359" s="208"/>
      <c r="G359" s="1194"/>
      <c r="H359" s="208"/>
      <c r="I359" s="208"/>
      <c r="J359" s="208"/>
      <c r="K359" s="208"/>
      <c r="L359" s="208"/>
      <c r="M359" s="208"/>
      <c r="N359" s="208"/>
      <c r="O359" s="208"/>
      <c r="P359" s="208"/>
      <c r="Q359" s="208"/>
      <c r="R359" s="208"/>
      <c r="S359" s="208"/>
      <c r="T359" s="208"/>
      <c r="U359" s="208"/>
      <c r="V359" s="208"/>
      <c r="W359" s="208"/>
      <c r="X359" s="208"/>
      <c r="Y359" s="208"/>
      <c r="Z359" s="208"/>
      <c r="AA359" s="208"/>
      <c r="AB359" s="208"/>
      <c r="AC359" s="208"/>
      <c r="AD359" s="208"/>
      <c r="AE359" s="208"/>
      <c r="AF359" s="208"/>
      <c r="AG359" s="208"/>
      <c r="AH359" s="208"/>
      <c r="AI359" s="208"/>
      <c r="AJ359" s="208"/>
      <c r="AK359" s="208"/>
      <c r="AL359" s="208"/>
      <c r="AM359" s="208"/>
      <c r="AN359" s="208"/>
      <c r="AO359" s="208"/>
      <c r="AP359" s="208"/>
      <c r="AQ359" s="208"/>
      <c r="AR359" s="208"/>
      <c r="AS359" s="208"/>
      <c r="AT359" s="208"/>
      <c r="AU359" s="208"/>
      <c r="AV359" s="208"/>
      <c r="AW359" s="208"/>
      <c r="AX359" s="208"/>
      <c r="AY359" s="208"/>
      <c r="AZ359" s="208"/>
      <c r="BA359" s="208"/>
      <c r="BB359" s="208"/>
      <c r="BC359" s="208"/>
      <c r="BD359" s="208"/>
      <c r="BE359" s="208"/>
      <c r="BF359" s="208"/>
      <c r="BG359" s="1184"/>
      <c r="BH359" s="1184"/>
      <c r="BI359" s="1184"/>
      <c r="BJ359" s="1184"/>
      <c r="BK359" s="1184"/>
      <c r="BL359" s="1184"/>
      <c r="BM359" s="1184"/>
      <c r="BN359" s="1184"/>
      <c r="BO359" s="1184"/>
      <c r="BP359" s="1184"/>
      <c r="BQ359" s="1184"/>
      <c r="BR359" s="1184"/>
      <c r="BS359" s="1184"/>
      <c r="BT359" s="1184"/>
      <c r="BU359" s="1233">
        <f t="shared" si="5183"/>
        <v>0</v>
      </c>
      <c r="BV359" s="1233">
        <f t="shared" si="5183"/>
        <v>0</v>
      </c>
      <c r="BW359" s="1233">
        <f t="shared" si="5183"/>
        <v>0</v>
      </c>
      <c r="BX359" s="1233">
        <f t="shared" si="5183"/>
        <v>0</v>
      </c>
      <c r="BY359" s="1233">
        <f t="shared" si="5183"/>
        <v>0</v>
      </c>
      <c r="BZ359" s="1233">
        <f t="shared" si="5183"/>
        <v>0</v>
      </c>
      <c r="CA359" s="208"/>
      <c r="CB359" s="208"/>
      <c r="CC359" s="208"/>
      <c r="CD359" s="211"/>
    </row>
    <row r="360" ht="18" customHeight="1">
      <c r="A360" s="207"/>
      <c r="B360" s="208"/>
      <c r="C360" s="208"/>
      <c r="D360" s="208"/>
      <c r="E360" s="208"/>
      <c r="F360" s="208"/>
      <c r="G360" s="1194"/>
      <c r="H360" s="208"/>
      <c r="I360" s="208"/>
      <c r="J360" s="208"/>
      <c r="K360" s="208"/>
      <c r="L360" s="208"/>
      <c r="M360" s="208"/>
      <c r="N360" s="208"/>
      <c r="O360" s="208"/>
      <c r="P360" s="208"/>
      <c r="Q360" s="208"/>
      <c r="R360" s="208"/>
      <c r="S360" s="208"/>
      <c r="T360" s="208"/>
      <c r="U360" s="208"/>
      <c r="V360" s="208"/>
      <c r="W360" s="208"/>
      <c r="X360" s="208"/>
      <c r="Y360" s="208"/>
      <c r="Z360" s="208"/>
      <c r="AA360" s="208"/>
      <c r="AB360" s="208"/>
      <c r="AC360" s="208"/>
      <c r="AD360" s="208"/>
      <c r="AE360" s="208"/>
      <c r="AF360" s="208"/>
      <c r="AG360" s="208"/>
      <c r="AH360" s="208"/>
      <c r="AI360" s="208"/>
      <c r="AJ360" s="208"/>
      <c r="AK360" s="208"/>
      <c r="AL360" s="208"/>
      <c r="AM360" s="208"/>
      <c r="AN360" s="208"/>
      <c r="AO360" s="208"/>
      <c r="AP360" s="208"/>
      <c r="AQ360" s="208"/>
      <c r="AR360" s="208"/>
      <c r="AS360" s="208"/>
      <c r="AT360" s="208"/>
      <c r="AU360" s="208"/>
      <c r="AV360" s="208"/>
      <c r="AW360" s="208"/>
      <c r="AX360" s="208"/>
      <c r="AY360" s="208"/>
      <c r="AZ360" s="208"/>
      <c r="BA360" s="208"/>
      <c r="BB360" s="208"/>
      <c r="BC360" s="208"/>
      <c r="BD360" s="208"/>
      <c r="BE360" s="208"/>
      <c r="BF360" s="208"/>
      <c r="BG360" s="1184"/>
      <c r="BH360" s="1184"/>
      <c r="BI360" s="1184"/>
      <c r="BJ360" s="1184"/>
      <c r="BK360" s="1184"/>
      <c r="BL360" s="1184"/>
      <c r="BM360" s="1184"/>
      <c r="BN360" s="1184"/>
      <c r="BO360" s="1184"/>
      <c r="BP360" s="1184"/>
      <c r="BQ360" s="1184"/>
      <c r="BR360" s="1184"/>
      <c r="BS360" s="1184"/>
      <c r="BT360" s="1184"/>
      <c r="BU360" s="1184"/>
      <c r="BV360" s="1233">
        <f t="shared" si="5183"/>
        <v>0</v>
      </c>
      <c r="BW360" s="1233">
        <f t="shared" si="5183"/>
        <v>0</v>
      </c>
      <c r="BX360" s="1233">
        <f t="shared" si="5183"/>
        <v>0</v>
      </c>
      <c r="BY360" s="1233">
        <f t="shared" si="5183"/>
        <v>0</v>
      </c>
      <c r="BZ360" s="1233">
        <f t="shared" si="5183"/>
        <v>0</v>
      </c>
      <c r="CA360" s="208"/>
      <c r="CB360" s="208"/>
      <c r="CC360" s="208"/>
      <c r="CD360" s="211"/>
    </row>
    <row r="361" ht="18" customHeight="1">
      <c r="A361" s="207"/>
      <c r="B361" s="208"/>
      <c r="C361" s="208"/>
      <c r="D361" s="208"/>
      <c r="E361" s="208"/>
      <c r="F361" s="208"/>
      <c r="G361" s="1194"/>
      <c r="H361" s="208"/>
      <c r="I361" s="208"/>
      <c r="J361" s="208"/>
      <c r="K361" s="208"/>
      <c r="L361" s="208"/>
      <c r="M361" s="208"/>
      <c r="N361" s="208"/>
      <c r="O361" s="208"/>
      <c r="P361" s="208"/>
      <c r="Q361" s="208"/>
      <c r="R361" s="208"/>
      <c r="S361" s="208"/>
      <c r="T361" s="208"/>
      <c r="U361" s="208"/>
      <c r="V361" s="208"/>
      <c r="W361" s="208"/>
      <c r="X361" s="208"/>
      <c r="Y361" s="208"/>
      <c r="Z361" s="208"/>
      <c r="AA361" s="208"/>
      <c r="AB361" s="208"/>
      <c r="AC361" s="208"/>
      <c r="AD361" s="208"/>
      <c r="AE361" s="208"/>
      <c r="AF361" s="208"/>
      <c r="AG361" s="208"/>
      <c r="AH361" s="208"/>
      <c r="AI361" s="208"/>
      <c r="AJ361" s="208"/>
      <c r="AK361" s="208"/>
      <c r="AL361" s="208"/>
      <c r="AM361" s="208"/>
      <c r="AN361" s="208"/>
      <c r="AO361" s="208"/>
      <c r="AP361" s="208"/>
      <c r="AQ361" s="208"/>
      <c r="AR361" s="208"/>
      <c r="AS361" s="208"/>
      <c r="AT361" s="208"/>
      <c r="AU361" s="208"/>
      <c r="AV361" s="208"/>
      <c r="AW361" s="208"/>
      <c r="AX361" s="208"/>
      <c r="AY361" s="208"/>
      <c r="AZ361" s="208"/>
      <c r="BA361" s="208"/>
      <c r="BB361" s="208"/>
      <c r="BC361" s="208"/>
      <c r="BD361" s="208"/>
      <c r="BE361" s="208"/>
      <c r="BF361" s="208"/>
      <c r="BG361" s="1184"/>
      <c r="BH361" s="1184"/>
      <c r="BI361" s="1184"/>
      <c r="BJ361" s="1184"/>
      <c r="BK361" s="1184"/>
      <c r="BL361" s="1184"/>
      <c r="BM361" s="1184"/>
      <c r="BN361" s="1184"/>
      <c r="BO361" s="1184"/>
      <c r="BP361" s="1184"/>
      <c r="BQ361" s="1184"/>
      <c r="BR361" s="1184"/>
      <c r="BS361" s="1184"/>
      <c r="BT361" s="1184"/>
      <c r="BU361" s="1184"/>
      <c r="BV361" s="1184"/>
      <c r="BW361" s="1233">
        <f t="shared" si="5183"/>
        <v>0</v>
      </c>
      <c r="BX361" s="1233">
        <f t="shared" si="5183"/>
        <v>0</v>
      </c>
      <c r="BY361" s="1233">
        <f t="shared" si="5183"/>
        <v>0</v>
      </c>
      <c r="BZ361" s="1233">
        <f t="shared" si="5183"/>
        <v>0</v>
      </c>
      <c r="CA361" s="208"/>
      <c r="CB361" s="208"/>
      <c r="CC361" s="208"/>
      <c r="CD361" s="211"/>
    </row>
    <row r="362" ht="18" customHeight="1">
      <c r="A362" s="207"/>
      <c r="B362" s="208"/>
      <c r="C362" s="208"/>
      <c r="D362" s="208"/>
      <c r="E362" s="208"/>
      <c r="F362" s="208"/>
      <c r="G362" s="1194"/>
      <c r="H362" s="208"/>
      <c r="I362" s="208"/>
      <c r="J362" s="208"/>
      <c r="K362" s="208"/>
      <c r="L362" s="208"/>
      <c r="M362" s="208"/>
      <c r="N362" s="208"/>
      <c r="O362" s="208"/>
      <c r="P362" s="208"/>
      <c r="Q362" s="208"/>
      <c r="R362" s="208"/>
      <c r="S362" s="208"/>
      <c r="T362" s="208"/>
      <c r="U362" s="208"/>
      <c r="V362" s="208"/>
      <c r="W362" s="208"/>
      <c r="X362" s="208"/>
      <c r="Y362" s="208"/>
      <c r="Z362" s="208"/>
      <c r="AA362" s="208"/>
      <c r="AB362" s="208"/>
      <c r="AC362" s="208"/>
      <c r="AD362" s="208"/>
      <c r="AE362" s="208"/>
      <c r="AF362" s="208"/>
      <c r="AG362" s="208"/>
      <c r="AH362" s="208"/>
      <c r="AI362" s="208"/>
      <c r="AJ362" s="208"/>
      <c r="AK362" s="208"/>
      <c r="AL362" s="208"/>
      <c r="AM362" s="208"/>
      <c r="AN362" s="208"/>
      <c r="AO362" s="208"/>
      <c r="AP362" s="208"/>
      <c r="AQ362" s="208"/>
      <c r="AR362" s="208"/>
      <c r="AS362" s="208"/>
      <c r="AT362" s="208"/>
      <c r="AU362" s="208"/>
      <c r="AV362" s="208"/>
      <c r="AW362" s="208"/>
      <c r="AX362" s="208"/>
      <c r="AY362" s="208"/>
      <c r="AZ362" s="208"/>
      <c r="BA362" s="208"/>
      <c r="BB362" s="208"/>
      <c r="BC362" s="208"/>
      <c r="BD362" s="208"/>
      <c r="BE362" s="208"/>
      <c r="BF362" s="208"/>
      <c r="BG362" s="1184"/>
      <c r="BH362" s="1184"/>
      <c r="BI362" s="1184"/>
      <c r="BJ362" s="1184"/>
      <c r="BK362" s="1184"/>
      <c r="BL362" s="1184"/>
      <c r="BM362" s="1184"/>
      <c r="BN362" s="1184"/>
      <c r="BO362" s="1184"/>
      <c r="BP362" s="1184"/>
      <c r="BQ362" s="1184"/>
      <c r="BR362" s="1184"/>
      <c r="BS362" s="1184"/>
      <c r="BT362" s="1184"/>
      <c r="BU362" s="1184"/>
      <c r="BV362" s="1184"/>
      <c r="BW362" s="1184"/>
      <c r="BX362" s="1233">
        <f t="shared" si="5183"/>
        <v>0</v>
      </c>
      <c r="BY362" s="1233">
        <f t="shared" si="5183"/>
        <v>0</v>
      </c>
      <c r="BZ362" s="1233">
        <f t="shared" si="5183"/>
        <v>0</v>
      </c>
      <c r="CA362" s="208"/>
      <c r="CB362" s="208"/>
      <c r="CC362" s="208"/>
      <c r="CD362" s="211"/>
    </row>
    <row r="363" ht="18" customHeight="1">
      <c r="A363" s="207"/>
      <c r="B363" s="208"/>
      <c r="C363" s="208"/>
      <c r="D363" s="208"/>
      <c r="E363" s="208"/>
      <c r="F363" s="208"/>
      <c r="G363" s="1194"/>
      <c r="H363" s="208"/>
      <c r="I363" s="208"/>
      <c r="J363" s="208"/>
      <c r="K363" s="208"/>
      <c r="L363" s="208"/>
      <c r="M363" s="208"/>
      <c r="N363" s="208"/>
      <c r="O363" s="208"/>
      <c r="P363" s="208"/>
      <c r="Q363" s="208"/>
      <c r="R363" s="208"/>
      <c r="S363" s="208"/>
      <c r="T363" s="208"/>
      <c r="U363" s="208"/>
      <c r="V363" s="208"/>
      <c r="W363" s="208"/>
      <c r="X363" s="208"/>
      <c r="Y363" s="208"/>
      <c r="Z363" s="208"/>
      <c r="AA363" s="208"/>
      <c r="AB363" s="208"/>
      <c r="AC363" s="208"/>
      <c r="AD363" s="208"/>
      <c r="AE363" s="208"/>
      <c r="AF363" s="208"/>
      <c r="AG363" s="208"/>
      <c r="AH363" s="208"/>
      <c r="AI363" s="208"/>
      <c r="AJ363" s="208"/>
      <c r="AK363" s="208"/>
      <c r="AL363" s="208"/>
      <c r="AM363" s="208"/>
      <c r="AN363" s="208"/>
      <c r="AO363" s="208"/>
      <c r="AP363" s="208"/>
      <c r="AQ363" s="208"/>
      <c r="AR363" s="208"/>
      <c r="AS363" s="208"/>
      <c r="AT363" s="208"/>
      <c r="AU363" s="208"/>
      <c r="AV363" s="208"/>
      <c r="AW363" s="208"/>
      <c r="AX363" s="208"/>
      <c r="AY363" s="208"/>
      <c r="AZ363" s="208"/>
      <c r="BA363" s="208"/>
      <c r="BB363" s="208"/>
      <c r="BC363" s="208"/>
      <c r="BD363" s="208"/>
      <c r="BE363" s="208"/>
      <c r="BF363" s="208"/>
      <c r="BG363" s="1184"/>
      <c r="BH363" s="1184"/>
      <c r="BI363" s="1184"/>
      <c r="BJ363" s="1184"/>
      <c r="BK363" s="1184"/>
      <c r="BL363" s="1184"/>
      <c r="BM363" s="1184"/>
      <c r="BN363" s="1184"/>
      <c r="BO363" s="1184"/>
      <c r="BP363" s="1184"/>
      <c r="BQ363" s="1184"/>
      <c r="BR363" s="1184"/>
      <c r="BS363" s="1184"/>
      <c r="BT363" s="1184"/>
      <c r="BU363" s="1184"/>
      <c r="BV363" s="1184"/>
      <c r="BW363" s="1184"/>
      <c r="BX363" s="1184"/>
      <c r="BY363" s="1233">
        <f t="shared" si="5183"/>
        <v>0</v>
      </c>
      <c r="BZ363" s="1233">
        <f t="shared" si="5183"/>
        <v>0</v>
      </c>
      <c r="CA363" s="208"/>
      <c r="CB363" s="208"/>
      <c r="CC363" s="208"/>
      <c r="CD363" s="211"/>
    </row>
    <row r="364" ht="18" customHeight="1">
      <c r="A364" s="207"/>
      <c r="B364" s="208"/>
      <c r="C364" s="208"/>
      <c r="D364" s="208"/>
      <c r="E364" s="208"/>
      <c r="F364" s="208"/>
      <c r="G364" s="1194"/>
      <c r="H364" s="208"/>
      <c r="I364" s="208"/>
      <c r="J364" s="208"/>
      <c r="K364" s="208"/>
      <c r="L364" s="208"/>
      <c r="M364" s="208"/>
      <c r="N364" s="208"/>
      <c r="O364" s="208"/>
      <c r="P364" s="208"/>
      <c r="Q364" s="208"/>
      <c r="R364" s="208"/>
      <c r="S364" s="208"/>
      <c r="T364" s="208"/>
      <c r="U364" s="208"/>
      <c r="V364" s="208"/>
      <c r="W364" s="208"/>
      <c r="X364" s="208"/>
      <c r="Y364" s="208"/>
      <c r="Z364" s="208"/>
      <c r="AA364" s="208"/>
      <c r="AB364" s="208"/>
      <c r="AC364" s="208"/>
      <c r="AD364" s="208"/>
      <c r="AE364" s="208"/>
      <c r="AF364" s="208"/>
      <c r="AG364" s="208"/>
      <c r="AH364" s="208"/>
      <c r="AI364" s="208"/>
      <c r="AJ364" s="208"/>
      <c r="AK364" s="208"/>
      <c r="AL364" s="208"/>
      <c r="AM364" s="208"/>
      <c r="AN364" s="208"/>
      <c r="AO364" s="208"/>
      <c r="AP364" s="208"/>
      <c r="AQ364" s="208"/>
      <c r="AR364" s="208"/>
      <c r="AS364" s="208"/>
      <c r="AT364" s="208"/>
      <c r="AU364" s="208"/>
      <c r="AV364" s="208"/>
      <c r="AW364" s="208"/>
      <c r="AX364" s="208"/>
      <c r="AY364" s="208"/>
      <c r="AZ364" s="208"/>
      <c r="BA364" s="208"/>
      <c r="BB364" s="208"/>
      <c r="BC364" s="208"/>
      <c r="BD364" s="208"/>
      <c r="BE364" s="208"/>
      <c r="BF364" s="208"/>
      <c r="BG364" s="1184"/>
      <c r="BH364" s="1184"/>
      <c r="BI364" s="1184"/>
      <c r="BJ364" s="1184"/>
      <c r="BK364" s="1184"/>
      <c r="BL364" s="1184"/>
      <c r="BM364" s="1184"/>
      <c r="BN364" s="1184"/>
      <c r="BO364" s="1184"/>
      <c r="BP364" s="1184"/>
      <c r="BQ364" s="1184"/>
      <c r="BR364" s="1184"/>
      <c r="BS364" s="1184"/>
      <c r="BT364" s="1184"/>
      <c r="BU364" s="1184"/>
      <c r="BV364" s="1184"/>
      <c r="BW364" s="1184"/>
      <c r="BX364" s="1184"/>
      <c r="BY364" s="1184"/>
      <c r="BZ364" s="1233">
        <f t="shared" si="5183"/>
        <v>0</v>
      </c>
      <c r="CA364" s="208"/>
      <c r="CB364" s="208"/>
      <c r="CC364" s="208"/>
      <c r="CD364" s="211"/>
    </row>
    <row r="365" ht="18" customHeight="1">
      <c r="A365" s="207"/>
      <c r="B365" s="208"/>
      <c r="C365" s="208"/>
      <c r="D365" s="208"/>
      <c r="E365" s="208"/>
      <c r="F365" s="208"/>
      <c r="G365" s="1194"/>
      <c r="H365" s="208"/>
      <c r="I365" s="208"/>
      <c r="J365" s="208"/>
      <c r="K365" s="208"/>
      <c r="L365" s="208"/>
      <c r="M365" s="208"/>
      <c r="N365" s="208"/>
      <c r="O365" s="208"/>
      <c r="P365" s="208"/>
      <c r="Q365" s="208"/>
      <c r="R365" s="208"/>
      <c r="S365" s="208"/>
      <c r="T365" s="208"/>
      <c r="U365" s="208"/>
      <c r="V365" s="208"/>
      <c r="W365" s="208"/>
      <c r="X365" s="208"/>
      <c r="Y365" s="208"/>
      <c r="Z365" s="208"/>
      <c r="AA365" s="208"/>
      <c r="AB365" s="208"/>
      <c r="AC365" s="208"/>
      <c r="AD365" s="208"/>
      <c r="AE365" s="208"/>
      <c r="AF365" s="208"/>
      <c r="AG365" s="208"/>
      <c r="AH365" s="208"/>
      <c r="AI365" s="208"/>
      <c r="AJ365" s="208"/>
      <c r="AK365" s="208"/>
      <c r="AL365" s="208"/>
      <c r="AM365" s="208"/>
      <c r="AN365" s="208"/>
      <c r="AO365" s="208"/>
      <c r="AP365" s="208"/>
      <c r="AQ365" s="208"/>
      <c r="AR365" s="208"/>
      <c r="AS365" s="208"/>
      <c r="AT365" s="208"/>
      <c r="AU365" s="208"/>
      <c r="AV365" s="208"/>
      <c r="AW365" s="208"/>
      <c r="AX365" s="208"/>
      <c r="AY365" s="208"/>
      <c r="AZ365" s="208"/>
      <c r="BA365" s="208"/>
      <c r="BB365" s="208"/>
      <c r="BC365" s="208"/>
      <c r="BD365" s="208"/>
      <c r="BE365" s="208"/>
      <c r="BF365" s="208"/>
      <c r="BG365" s="1184"/>
      <c r="BH365" s="1184"/>
      <c r="BI365" s="1184"/>
      <c r="BJ365" s="1184"/>
      <c r="BK365" s="1184"/>
      <c r="BL365" s="1184"/>
      <c r="BM365" s="1184"/>
      <c r="BN365" s="1184"/>
      <c r="BO365" s="1184"/>
      <c r="BP365" s="1184"/>
      <c r="BQ365" s="1184"/>
      <c r="BR365" s="1184"/>
      <c r="BS365" s="1184"/>
      <c r="BT365" s="1184"/>
      <c r="BU365" s="1184"/>
      <c r="BV365" s="1184"/>
      <c r="BW365" s="1184"/>
      <c r="BX365" s="1184"/>
      <c r="BY365" s="1184"/>
      <c r="BZ365" s="208"/>
      <c r="CA365" s="208"/>
      <c r="CB365" s="208"/>
      <c r="CC365" s="208"/>
      <c r="CD365" s="211"/>
    </row>
    <row r="366" ht="18" customHeight="1">
      <c r="A366" s="207"/>
      <c r="B366" s="208"/>
      <c r="C366" s="208"/>
      <c r="D366" s="208"/>
      <c r="E366" s="208"/>
      <c r="F366" s="208"/>
      <c r="G366" s="1194"/>
      <c r="H366" s="208"/>
      <c r="I366" s="208"/>
      <c r="J366" s="208"/>
      <c r="K366" s="208"/>
      <c r="L366" s="208"/>
      <c r="M366" s="208"/>
      <c r="N366" s="208"/>
      <c r="O366" s="208"/>
      <c r="P366" s="208"/>
      <c r="Q366" s="208"/>
      <c r="R366" s="208"/>
      <c r="S366" s="208"/>
      <c r="T366" s="208"/>
      <c r="U366" s="208"/>
      <c r="V366" s="208"/>
      <c r="W366" s="208"/>
      <c r="X366" s="208"/>
      <c r="Y366" s="208"/>
      <c r="Z366" s="208"/>
      <c r="AA366" s="208"/>
      <c r="AB366" s="208"/>
      <c r="AC366" s="208"/>
      <c r="AD366" s="208"/>
      <c r="AE366" s="208"/>
      <c r="AF366" s="208"/>
      <c r="AG366" s="208"/>
      <c r="AH366" s="208"/>
      <c r="AI366" s="208"/>
      <c r="AJ366" s="208"/>
      <c r="AK366" s="208"/>
      <c r="AL366" s="208"/>
      <c r="AM366" s="208"/>
      <c r="AN366" s="208"/>
      <c r="AO366" s="208"/>
      <c r="AP366" s="208"/>
      <c r="AQ366" s="208"/>
      <c r="AR366" s="208"/>
      <c r="AS366" s="208"/>
      <c r="AT366" s="208"/>
      <c r="AU366" s="208"/>
      <c r="AV366" s="208"/>
      <c r="AW366" s="208"/>
      <c r="AX366" s="208"/>
      <c r="AY366" s="208"/>
      <c r="AZ366" s="208"/>
      <c r="BA366" s="208"/>
      <c r="BB366" s="208"/>
      <c r="BC366" s="208"/>
      <c r="BD366" s="208"/>
      <c r="BE366" s="208"/>
      <c r="BF366" s="208"/>
      <c r="BG366" s="1184"/>
      <c r="BH366" s="1184"/>
      <c r="BI366" s="1184"/>
      <c r="BJ366" s="1184"/>
      <c r="BK366" s="1184"/>
      <c r="BL366" s="1184"/>
      <c r="BM366" s="1184"/>
      <c r="BN366" s="1184"/>
      <c r="BO366" s="1184"/>
      <c r="BP366" s="1184"/>
      <c r="BQ366" s="1184"/>
      <c r="BR366" s="1184"/>
      <c r="BS366" s="1184"/>
      <c r="BT366" s="1184"/>
      <c r="BU366" s="1184"/>
      <c r="BV366" s="1184"/>
      <c r="BW366" s="1184"/>
      <c r="BX366" s="1184"/>
      <c r="BY366" s="1184"/>
      <c r="BZ366" s="208"/>
      <c r="CA366" s="208"/>
      <c r="CB366" s="208"/>
      <c r="CC366" s="208"/>
      <c r="CD366" s="211"/>
    </row>
    <row r="367" ht="18" customHeight="1">
      <c r="A367" s="1281">
        <v>36892</v>
      </c>
      <c r="B367" t="s" s="1221">
        <v>1130</v>
      </c>
      <c r="C367" s="1238"/>
      <c r="D367" s="1238"/>
      <c r="E367" s="1238"/>
      <c r="F367" s="1238"/>
      <c r="G367" s="1238"/>
      <c r="H367" s="1238"/>
      <c r="I367" s="1238"/>
      <c r="J367" s="1238"/>
      <c r="K367" s="1238"/>
      <c r="L367" s="1238"/>
      <c r="M367" s="1238"/>
      <c r="N367" s="1238"/>
      <c r="O367" s="1238"/>
      <c r="P367" s="1217"/>
      <c r="Q367" s="1217"/>
      <c r="R367" s="1217"/>
      <c r="S367" s="1217"/>
      <c r="T367" s="1217"/>
      <c r="U367" s="1217"/>
      <c r="V367" s="1217"/>
      <c r="W367" s="1217"/>
      <c r="X367" s="1217"/>
      <c r="Y367" s="1217"/>
      <c r="Z367" s="1217"/>
      <c r="AA367" s="1217"/>
      <c r="AB367" s="1217"/>
      <c r="AC367" s="1217"/>
      <c r="AD367" s="1217"/>
      <c r="AE367" s="1217"/>
      <c r="AF367" s="708"/>
      <c r="AG367" s="708"/>
      <c r="AH367" s="708"/>
      <c r="AI367" s="708"/>
      <c r="AJ367" s="208"/>
      <c r="AK367" s="208"/>
      <c r="AL367" s="208"/>
      <c r="AM367" s="208"/>
      <c r="AN367" s="208"/>
      <c r="AO367" s="208"/>
      <c r="AP367" s="208"/>
      <c r="AQ367" s="208"/>
      <c r="AR367" s="208"/>
      <c r="AS367" s="1184"/>
      <c r="AT367" s="1184"/>
      <c r="AU367" s="1184"/>
      <c r="AV367" s="1184"/>
      <c r="AW367" s="1184"/>
      <c r="AX367" s="1184"/>
      <c r="AY367" s="1184"/>
      <c r="AZ367" s="1184"/>
      <c r="BA367" s="1184"/>
      <c r="BB367" s="1184"/>
      <c r="BC367" s="1184"/>
      <c r="BD367" s="1184"/>
      <c r="BE367" s="1184"/>
      <c r="BF367" s="1184"/>
      <c r="BG367" s="1184"/>
      <c r="BH367" s="1184"/>
      <c r="BI367" s="1184"/>
      <c r="BJ367" s="1184"/>
      <c r="BK367" s="1184"/>
      <c r="BL367" s="208"/>
      <c r="BM367" s="1184"/>
      <c r="BN367" s="1184"/>
      <c r="BO367" s="1184"/>
      <c r="BP367" s="1184"/>
      <c r="BQ367" s="1184"/>
      <c r="BR367" s="1184"/>
      <c r="BS367" s="1184"/>
      <c r="BT367" s="1184"/>
      <c r="BU367" s="1184"/>
      <c r="BV367" s="1184"/>
      <c r="BW367" s="1184"/>
      <c r="BX367" s="1184"/>
      <c r="BY367" s="1184"/>
      <c r="BZ367" s="208"/>
      <c r="CA367" s="208"/>
      <c r="CB367" s="208"/>
      <c r="CC367" s="208"/>
      <c r="CD367" s="211"/>
    </row>
    <row r="368" ht="18" customHeight="1">
      <c r="A368" s="1282"/>
      <c r="B368" s="1217"/>
      <c r="C368" s="1238"/>
      <c r="D368" s="1238"/>
      <c r="E368" s="1238"/>
      <c r="F368" s="1238"/>
      <c r="G368" s="1238"/>
      <c r="H368" s="1238"/>
      <c r="I368" s="1238"/>
      <c r="J368" s="1238"/>
      <c r="K368" s="1238"/>
      <c r="L368" s="1238"/>
      <c r="M368" s="1238"/>
      <c r="N368" s="1238"/>
      <c r="O368" s="1238"/>
      <c r="P368" s="1217"/>
      <c r="Q368" s="1217"/>
      <c r="R368" s="1217"/>
      <c r="S368" s="1217"/>
      <c r="T368" s="1217"/>
      <c r="U368" s="1217"/>
      <c r="V368" s="1217"/>
      <c r="W368" s="1217"/>
      <c r="X368" s="1217"/>
      <c r="Y368" s="1217"/>
      <c r="Z368" s="1217"/>
      <c r="AA368" s="1217"/>
      <c r="AB368" s="1217"/>
      <c r="AC368" s="1217"/>
      <c r="AD368" s="1217"/>
      <c r="AE368" s="1217"/>
      <c r="AF368" s="708"/>
      <c r="AG368" s="708"/>
      <c r="AH368" s="708"/>
      <c r="AI368" s="708"/>
      <c r="AJ368" s="208"/>
      <c r="AK368" s="208"/>
      <c r="AL368" s="208"/>
      <c r="AM368" s="208"/>
      <c r="AN368" s="208"/>
      <c r="AO368" s="208"/>
      <c r="AP368" s="208"/>
      <c r="AQ368" s="208"/>
      <c r="AR368" s="208"/>
      <c r="AS368" s="1184"/>
      <c r="AT368" s="1184"/>
      <c r="AU368" s="1184"/>
      <c r="AV368" s="1184"/>
      <c r="AW368" s="1184"/>
      <c r="AX368" s="1184"/>
      <c r="AY368" s="1184"/>
      <c r="AZ368" s="1184"/>
      <c r="BA368" s="1184"/>
      <c r="BB368" s="1184"/>
      <c r="BC368" s="1184"/>
      <c r="BD368" s="1184"/>
      <c r="BE368" s="1184"/>
      <c r="BF368" s="1184"/>
      <c r="BG368" s="1184"/>
      <c r="BH368" s="1184"/>
      <c r="BI368" s="1184"/>
      <c r="BJ368" s="1184"/>
      <c r="BK368" s="1184"/>
      <c r="BL368" s="208"/>
      <c r="BM368" s="1184"/>
      <c r="BN368" s="1184"/>
      <c r="BO368" s="1184"/>
      <c r="BP368" s="1184"/>
      <c r="BQ368" s="1184"/>
      <c r="BR368" s="1184"/>
      <c r="BS368" s="1184"/>
      <c r="BT368" s="1184"/>
      <c r="BU368" s="1184"/>
      <c r="BV368" s="1184"/>
      <c r="BW368" s="1184"/>
      <c r="BX368" s="1184"/>
      <c r="BY368" s="1184"/>
      <c r="BZ368" s="208"/>
      <c r="CA368" s="208"/>
      <c r="CB368" s="208"/>
      <c r="CC368" s="208"/>
      <c r="CD368" s="211"/>
    </row>
    <row r="369" ht="18" customHeight="1">
      <c r="A369" t="s" s="1283">
        <v>1131</v>
      </c>
      <c r="B369" s="1221">
        <v>1</v>
      </c>
      <c r="C369" s="1221">
        <v>2</v>
      </c>
      <c r="D369" s="1221">
        <v>3</v>
      </c>
      <c r="E369" s="1221">
        <v>4</v>
      </c>
      <c r="F369" s="1221">
        <v>5</v>
      </c>
      <c r="G369" s="1221">
        <v>6</v>
      </c>
      <c r="H369" s="1221">
        <v>7</v>
      </c>
      <c r="I369" s="1221">
        <v>8</v>
      </c>
      <c r="J369" s="1221">
        <v>9</v>
      </c>
      <c r="K369" s="1221">
        <v>10</v>
      </c>
      <c r="L369" s="1221">
        <v>11</v>
      </c>
      <c r="M369" s="1221">
        <v>12</v>
      </c>
      <c r="N369" s="1221">
        <v>13</v>
      </c>
      <c r="O369" s="1221">
        <v>14</v>
      </c>
      <c r="P369" s="1221">
        <v>15</v>
      </c>
      <c r="Q369" s="1274">
        <v>16</v>
      </c>
      <c r="R369" s="1221">
        <v>17</v>
      </c>
      <c r="S369" s="1221">
        <v>18</v>
      </c>
      <c r="T369" s="1221">
        <v>19</v>
      </c>
      <c r="U369" s="1221">
        <v>20</v>
      </c>
      <c r="V369" s="1221">
        <v>21</v>
      </c>
      <c r="W369" s="1221">
        <v>22</v>
      </c>
      <c r="X369" s="1221">
        <v>23</v>
      </c>
      <c r="Y369" s="1221">
        <v>24</v>
      </c>
      <c r="Z369" s="1221">
        <v>25</v>
      </c>
      <c r="AA369" s="1221">
        <v>26</v>
      </c>
      <c r="AB369" s="1221">
        <v>27</v>
      </c>
      <c r="AC369" s="1221">
        <v>28</v>
      </c>
      <c r="AD369" s="1221">
        <v>29</v>
      </c>
      <c r="AE369" s="1221">
        <v>30</v>
      </c>
      <c r="AF369" s="1221">
        <v>31</v>
      </c>
      <c r="AG369" s="1221">
        <v>32</v>
      </c>
      <c r="AH369" s="1221">
        <v>33</v>
      </c>
      <c r="AI369" s="1221">
        <v>34</v>
      </c>
      <c r="AJ369" s="1275">
        <v>35</v>
      </c>
      <c r="AK369" s="1275">
        <v>36</v>
      </c>
      <c r="AL369" s="1275">
        <v>37</v>
      </c>
      <c r="AM369" s="1275">
        <v>38</v>
      </c>
      <c r="AN369" s="1275">
        <v>39</v>
      </c>
      <c r="AO369" s="1275">
        <v>40</v>
      </c>
      <c r="AP369" s="1275">
        <v>41</v>
      </c>
      <c r="AQ369" s="1275">
        <v>42</v>
      </c>
      <c r="AR369" s="1275">
        <v>43</v>
      </c>
      <c r="AS369" s="1276">
        <v>44</v>
      </c>
      <c r="AT369" s="1276">
        <v>45</v>
      </c>
      <c r="AU369" s="1276">
        <v>46</v>
      </c>
      <c r="AV369" s="1276">
        <v>47</v>
      </c>
      <c r="AW369" s="1276">
        <v>48</v>
      </c>
      <c r="AX369" s="1276">
        <v>49</v>
      </c>
      <c r="AY369" s="1276">
        <v>50</v>
      </c>
      <c r="AZ369" s="1276">
        <v>51</v>
      </c>
      <c r="BA369" s="1276">
        <v>52</v>
      </c>
      <c r="BB369" s="1276">
        <v>53</v>
      </c>
      <c r="BC369" s="1276">
        <v>54</v>
      </c>
      <c r="BD369" s="1276">
        <v>55</v>
      </c>
      <c r="BE369" s="1276">
        <v>56</v>
      </c>
      <c r="BF369" s="1276">
        <v>57</v>
      </c>
      <c r="BG369" s="1276">
        <v>58</v>
      </c>
      <c r="BH369" s="1276">
        <v>59</v>
      </c>
      <c r="BI369" s="1276">
        <v>60</v>
      </c>
      <c r="BJ369" s="1276">
        <v>61</v>
      </c>
      <c r="BK369" s="1276">
        <v>62</v>
      </c>
      <c r="BL369" s="1276">
        <v>63</v>
      </c>
      <c r="BM369" s="1184"/>
      <c r="BN369" s="1184"/>
      <c r="BO369" s="1184"/>
      <c r="BP369" s="1184"/>
      <c r="BQ369" s="1184"/>
      <c r="BR369" s="1184"/>
      <c r="BS369" s="1184"/>
      <c r="BT369" s="1184"/>
      <c r="BU369" s="1184"/>
      <c r="BV369" s="1184"/>
      <c r="BW369" s="1184"/>
      <c r="BX369" s="1184"/>
      <c r="BY369" s="1184"/>
      <c r="BZ369" s="208"/>
      <c r="CA369" s="208"/>
      <c r="CB369" s="208"/>
      <c r="CC369" s="208"/>
      <c r="CD369" s="211"/>
    </row>
    <row r="370" ht="18" customHeight="1">
      <c r="A370" s="1284">
        <v>1</v>
      </c>
      <c r="B370" s="1233">
        <f t="shared" si="5362" ref="B370:Q385">$F$278</f>
        <v>0</v>
      </c>
      <c r="C370" s="1221">
        <v>0</v>
      </c>
      <c r="D370" s="1221">
        <v>0</v>
      </c>
      <c r="E370" s="1221">
        <v>0</v>
      </c>
      <c r="F370" s="1221">
        <v>0</v>
      </c>
      <c r="G370" s="1221">
        <v>0</v>
      </c>
      <c r="H370" s="1221">
        <v>0</v>
      </c>
      <c r="I370" s="1221">
        <v>0</v>
      </c>
      <c r="J370" s="1221">
        <v>0</v>
      </c>
      <c r="K370" s="1221">
        <v>0</v>
      </c>
      <c r="L370" s="1221">
        <v>0</v>
      </c>
      <c r="M370" s="1221">
        <v>0</v>
      </c>
      <c r="N370" s="1221">
        <v>0</v>
      </c>
      <c r="O370" s="1221">
        <v>0</v>
      </c>
      <c r="P370" s="1221">
        <v>0</v>
      </c>
      <c r="Q370" s="1221">
        <v>0</v>
      </c>
      <c r="R370" s="1221">
        <v>0</v>
      </c>
      <c r="S370" s="1221">
        <v>0</v>
      </c>
      <c r="T370" s="1221">
        <v>0</v>
      </c>
      <c r="U370" s="1221">
        <v>0</v>
      </c>
      <c r="V370" s="1221">
        <v>0</v>
      </c>
      <c r="W370" s="1221">
        <v>0</v>
      </c>
      <c r="X370" s="1221">
        <v>0</v>
      </c>
      <c r="Y370" s="1221">
        <v>0</v>
      </c>
      <c r="Z370" s="1221">
        <v>0</v>
      </c>
      <c r="AA370" s="1221">
        <v>0</v>
      </c>
      <c r="AB370" s="1221">
        <v>0</v>
      </c>
      <c r="AC370" s="1221">
        <v>0</v>
      </c>
      <c r="AD370" s="1221">
        <v>0</v>
      </c>
      <c r="AE370" s="1221">
        <v>0</v>
      </c>
      <c r="AF370" s="1221">
        <v>0</v>
      </c>
      <c r="AG370" s="1221">
        <v>0</v>
      </c>
      <c r="AH370" s="1221">
        <v>0</v>
      </c>
      <c r="AI370" s="1221">
        <v>0</v>
      </c>
      <c r="AJ370" s="1221">
        <v>0</v>
      </c>
      <c r="AK370" s="1221">
        <v>0</v>
      </c>
      <c r="AL370" s="1221">
        <v>0</v>
      </c>
      <c r="AM370" s="1221">
        <v>0</v>
      </c>
      <c r="AN370" s="1221">
        <v>0</v>
      </c>
      <c r="AO370" s="1221">
        <v>0</v>
      </c>
      <c r="AP370" s="1221">
        <v>0</v>
      </c>
      <c r="AQ370" s="1221">
        <v>0</v>
      </c>
      <c r="AR370" s="1221">
        <v>0</v>
      </c>
      <c r="AS370" s="1221">
        <v>0</v>
      </c>
      <c r="AT370" s="1221">
        <v>0</v>
      </c>
      <c r="AU370" s="1221">
        <v>0</v>
      </c>
      <c r="AV370" s="1221">
        <v>0</v>
      </c>
      <c r="AW370" s="1221">
        <v>0</v>
      </c>
      <c r="AX370" s="1221">
        <v>0</v>
      </c>
      <c r="AY370" s="1221">
        <v>0</v>
      </c>
      <c r="AZ370" s="1221">
        <v>0</v>
      </c>
      <c r="BA370" s="1221">
        <v>0</v>
      </c>
      <c r="BB370" s="1184"/>
      <c r="BC370" s="1184"/>
      <c r="BD370" s="1184"/>
      <c r="BE370" s="1184"/>
      <c r="BF370" s="1184"/>
      <c r="BG370" s="1184"/>
      <c r="BH370" s="1184"/>
      <c r="BI370" s="1184"/>
      <c r="BJ370" s="1184"/>
      <c r="BK370" s="1184"/>
      <c r="BL370" s="208"/>
      <c r="BM370" s="1184"/>
      <c r="BN370" s="1184"/>
      <c r="BO370" s="1184"/>
      <c r="BP370" s="1184"/>
      <c r="BQ370" s="1184"/>
      <c r="BR370" s="1184"/>
      <c r="BS370" s="1184"/>
      <c r="BT370" s="1184"/>
      <c r="BU370" s="1184"/>
      <c r="BV370" s="1184"/>
      <c r="BW370" s="1184"/>
      <c r="BX370" s="1184"/>
      <c r="BY370" s="1184"/>
      <c r="BZ370" s="208"/>
      <c r="CA370" s="208"/>
      <c r="CB370" s="208"/>
      <c r="CC370" s="208"/>
      <c r="CD370" s="211"/>
    </row>
    <row r="371" ht="18" customHeight="1">
      <c r="A371" s="1284">
        <v>2</v>
      </c>
      <c r="B371" s="1233">
        <f t="shared" si="5363" ref="B371:Q386">$F$279</f>
        <v>0</v>
      </c>
      <c r="C371" s="1233">
        <f t="shared" si="5362"/>
        <v>0</v>
      </c>
      <c r="D371" s="1221">
        <v>0</v>
      </c>
      <c r="E371" s="1221">
        <v>0</v>
      </c>
      <c r="F371" s="1221">
        <v>0</v>
      </c>
      <c r="G371" s="1221">
        <v>0</v>
      </c>
      <c r="H371" s="1221">
        <v>0</v>
      </c>
      <c r="I371" s="1221">
        <v>0</v>
      </c>
      <c r="J371" s="1221">
        <v>0</v>
      </c>
      <c r="K371" s="1221">
        <v>0</v>
      </c>
      <c r="L371" s="1221">
        <v>0</v>
      </c>
      <c r="M371" s="1221">
        <v>0</v>
      </c>
      <c r="N371" s="1221">
        <v>0</v>
      </c>
      <c r="O371" s="1221">
        <v>0</v>
      </c>
      <c r="P371" s="1221">
        <v>0</v>
      </c>
      <c r="Q371" s="1221">
        <v>0</v>
      </c>
      <c r="R371" s="1221">
        <v>0</v>
      </c>
      <c r="S371" s="1221">
        <v>0</v>
      </c>
      <c r="T371" s="1221">
        <v>0</v>
      </c>
      <c r="U371" s="1221">
        <v>0</v>
      </c>
      <c r="V371" s="1221">
        <v>0</v>
      </c>
      <c r="W371" s="1221">
        <v>0</v>
      </c>
      <c r="X371" s="1221">
        <v>0</v>
      </c>
      <c r="Y371" s="1221">
        <v>0</v>
      </c>
      <c r="Z371" s="1221">
        <v>0</v>
      </c>
      <c r="AA371" s="1221">
        <v>0</v>
      </c>
      <c r="AB371" s="1221">
        <v>0</v>
      </c>
      <c r="AC371" s="1221">
        <v>0</v>
      </c>
      <c r="AD371" s="1221">
        <v>0</v>
      </c>
      <c r="AE371" s="1221">
        <v>0</v>
      </c>
      <c r="AF371" s="1221">
        <v>0</v>
      </c>
      <c r="AG371" s="1221">
        <v>0</v>
      </c>
      <c r="AH371" s="1221">
        <v>0</v>
      </c>
      <c r="AI371" s="1221">
        <v>0</v>
      </c>
      <c r="AJ371" s="1221">
        <v>0</v>
      </c>
      <c r="AK371" s="1221">
        <v>0</v>
      </c>
      <c r="AL371" s="1221">
        <v>0</v>
      </c>
      <c r="AM371" s="1221">
        <v>0</v>
      </c>
      <c r="AN371" s="1221">
        <v>0</v>
      </c>
      <c r="AO371" s="1221">
        <v>0</v>
      </c>
      <c r="AP371" s="1221">
        <v>0</v>
      </c>
      <c r="AQ371" s="1221">
        <v>0</v>
      </c>
      <c r="AR371" s="1221">
        <v>0</v>
      </c>
      <c r="AS371" s="1221">
        <v>0</v>
      </c>
      <c r="AT371" s="1221">
        <v>0</v>
      </c>
      <c r="AU371" s="1221">
        <v>0</v>
      </c>
      <c r="AV371" s="1221">
        <v>0</v>
      </c>
      <c r="AW371" s="1221">
        <v>0</v>
      </c>
      <c r="AX371" s="1221">
        <v>0</v>
      </c>
      <c r="AY371" s="1221">
        <v>0</v>
      </c>
      <c r="AZ371" s="1221">
        <v>0</v>
      </c>
      <c r="BA371" s="1221">
        <v>0</v>
      </c>
      <c r="BB371" s="1184"/>
      <c r="BC371" s="1184"/>
      <c r="BD371" s="1184"/>
      <c r="BE371" s="1184"/>
      <c r="BF371" s="1184"/>
      <c r="BG371" s="1184"/>
      <c r="BH371" s="1184"/>
      <c r="BI371" s="1184"/>
      <c r="BJ371" s="1184"/>
      <c r="BK371" s="1184"/>
      <c r="BL371" s="208"/>
      <c r="BM371" s="1184"/>
      <c r="BN371" s="1184"/>
      <c r="BO371" s="1184"/>
      <c r="BP371" s="1184"/>
      <c r="BQ371" s="1184"/>
      <c r="BR371" s="1184"/>
      <c r="BS371" s="1184"/>
      <c r="BT371" s="1184"/>
      <c r="BU371" s="1184"/>
      <c r="BV371" s="1184"/>
      <c r="BW371" s="1184"/>
      <c r="BX371" s="1184"/>
      <c r="BY371" s="1184"/>
      <c r="BZ371" s="208"/>
      <c r="CA371" s="208"/>
      <c r="CB371" s="208"/>
      <c r="CC371" s="208"/>
      <c r="CD371" s="211"/>
    </row>
    <row r="372" ht="18" customHeight="1">
      <c r="A372" s="1284">
        <v>3</v>
      </c>
      <c r="B372" s="1233">
        <f t="shared" si="5365" ref="B372:Q387">$F$280</f>
        <v>0</v>
      </c>
      <c r="C372" s="1233">
        <f t="shared" si="5363"/>
        <v>0</v>
      </c>
      <c r="D372" s="1233">
        <f t="shared" si="5362"/>
        <v>0</v>
      </c>
      <c r="E372" s="1221">
        <v>0</v>
      </c>
      <c r="F372" s="1221">
        <v>0</v>
      </c>
      <c r="G372" s="1221">
        <v>0</v>
      </c>
      <c r="H372" s="1221">
        <v>0</v>
      </c>
      <c r="I372" s="1221">
        <v>0</v>
      </c>
      <c r="J372" s="1221">
        <v>0</v>
      </c>
      <c r="K372" s="1221">
        <v>0</v>
      </c>
      <c r="L372" s="1221">
        <v>0</v>
      </c>
      <c r="M372" s="1221">
        <v>0</v>
      </c>
      <c r="N372" s="1221">
        <v>0</v>
      </c>
      <c r="O372" s="1221">
        <v>0</v>
      </c>
      <c r="P372" s="1221">
        <v>0</v>
      </c>
      <c r="Q372" s="1221">
        <v>0</v>
      </c>
      <c r="R372" s="1221">
        <v>0</v>
      </c>
      <c r="S372" s="1221">
        <v>0</v>
      </c>
      <c r="T372" s="1221">
        <v>0</v>
      </c>
      <c r="U372" s="1221">
        <v>0</v>
      </c>
      <c r="V372" s="1221">
        <v>0</v>
      </c>
      <c r="W372" s="1221">
        <v>0</v>
      </c>
      <c r="X372" s="1221">
        <v>0</v>
      </c>
      <c r="Y372" s="1221">
        <v>0</v>
      </c>
      <c r="Z372" s="1221">
        <v>0</v>
      </c>
      <c r="AA372" s="1221">
        <v>0</v>
      </c>
      <c r="AB372" s="1221">
        <v>0</v>
      </c>
      <c r="AC372" s="1221">
        <v>0</v>
      </c>
      <c r="AD372" s="1221">
        <v>0</v>
      </c>
      <c r="AE372" s="1221">
        <v>0</v>
      </c>
      <c r="AF372" s="1221">
        <v>0</v>
      </c>
      <c r="AG372" s="1221">
        <v>0</v>
      </c>
      <c r="AH372" s="1221">
        <v>0</v>
      </c>
      <c r="AI372" s="1221">
        <v>0</v>
      </c>
      <c r="AJ372" s="1221">
        <v>0</v>
      </c>
      <c r="AK372" s="1221">
        <v>0</v>
      </c>
      <c r="AL372" s="1221">
        <v>0</v>
      </c>
      <c r="AM372" s="1221">
        <v>0</v>
      </c>
      <c r="AN372" s="1221">
        <v>0</v>
      </c>
      <c r="AO372" s="1221">
        <v>0</v>
      </c>
      <c r="AP372" s="1221">
        <v>0</v>
      </c>
      <c r="AQ372" s="1221">
        <v>0</v>
      </c>
      <c r="AR372" s="1221">
        <v>0</v>
      </c>
      <c r="AS372" s="1221">
        <v>0</v>
      </c>
      <c r="AT372" s="1221">
        <v>0</v>
      </c>
      <c r="AU372" s="1221">
        <v>0</v>
      </c>
      <c r="AV372" s="1221">
        <v>0</v>
      </c>
      <c r="AW372" s="1221">
        <v>0</v>
      </c>
      <c r="AX372" s="1221">
        <v>0</v>
      </c>
      <c r="AY372" s="1221">
        <v>0</v>
      </c>
      <c r="AZ372" s="1221">
        <v>0</v>
      </c>
      <c r="BA372" s="1221">
        <v>0</v>
      </c>
      <c r="BB372" s="1184"/>
      <c r="BC372" s="1184"/>
      <c r="BD372" s="1184"/>
      <c r="BE372" s="1184"/>
      <c r="BF372" s="1184"/>
      <c r="BG372" s="1184"/>
      <c r="BH372" s="1184"/>
      <c r="BI372" s="1184"/>
      <c r="BJ372" s="1184"/>
      <c r="BK372" s="1184"/>
      <c r="BL372" s="208"/>
      <c r="BM372" s="1184"/>
      <c r="BN372" s="1184"/>
      <c r="BO372" s="1184"/>
      <c r="BP372" s="1184"/>
      <c r="BQ372" s="1184"/>
      <c r="BR372" s="1184"/>
      <c r="BS372" s="1184"/>
      <c r="BT372" s="1184"/>
      <c r="BU372" s="1184"/>
      <c r="BV372" s="1184"/>
      <c r="BW372" s="1184"/>
      <c r="BX372" s="1184"/>
      <c r="BY372" s="1184"/>
      <c r="BZ372" s="208"/>
      <c r="CA372" s="208"/>
      <c r="CB372" s="208"/>
      <c r="CC372" s="208"/>
      <c r="CD372" s="211"/>
    </row>
    <row r="373" ht="18" customHeight="1">
      <c r="A373" s="1284">
        <v>4</v>
      </c>
      <c r="B373" s="1233">
        <f t="shared" si="5368" ref="B373:Q388">$F$281</f>
        <v>0</v>
      </c>
      <c r="C373" s="1233">
        <f t="shared" si="5365"/>
        <v>0</v>
      </c>
      <c r="D373" s="1233">
        <f t="shared" si="5363"/>
        <v>0</v>
      </c>
      <c r="E373" s="1233">
        <f t="shared" si="5362"/>
        <v>0</v>
      </c>
      <c r="F373" s="1221">
        <v>0</v>
      </c>
      <c r="G373" s="1221">
        <v>0</v>
      </c>
      <c r="H373" s="1221">
        <v>0</v>
      </c>
      <c r="I373" s="1221">
        <v>0</v>
      </c>
      <c r="J373" s="1221">
        <v>0</v>
      </c>
      <c r="K373" s="1221">
        <v>0</v>
      </c>
      <c r="L373" s="1221">
        <v>0</v>
      </c>
      <c r="M373" s="1221">
        <v>0</v>
      </c>
      <c r="N373" s="1221">
        <v>0</v>
      </c>
      <c r="O373" s="1221">
        <v>0</v>
      </c>
      <c r="P373" s="1221">
        <v>0</v>
      </c>
      <c r="Q373" s="1221">
        <v>0</v>
      </c>
      <c r="R373" s="1221">
        <v>0</v>
      </c>
      <c r="S373" s="1221">
        <v>0</v>
      </c>
      <c r="T373" s="1221">
        <v>0</v>
      </c>
      <c r="U373" s="1221">
        <v>0</v>
      </c>
      <c r="V373" s="1221">
        <v>0</v>
      </c>
      <c r="W373" s="1221">
        <v>0</v>
      </c>
      <c r="X373" s="1221">
        <v>0</v>
      </c>
      <c r="Y373" s="1221">
        <v>0</v>
      </c>
      <c r="Z373" s="1221">
        <v>0</v>
      </c>
      <c r="AA373" s="1221">
        <v>0</v>
      </c>
      <c r="AB373" s="1221">
        <v>0</v>
      </c>
      <c r="AC373" s="1221">
        <v>0</v>
      </c>
      <c r="AD373" s="1221">
        <v>0</v>
      </c>
      <c r="AE373" s="1221">
        <v>0</v>
      </c>
      <c r="AF373" s="1221">
        <v>0</v>
      </c>
      <c r="AG373" s="1221">
        <v>0</v>
      </c>
      <c r="AH373" s="1221">
        <v>0</v>
      </c>
      <c r="AI373" s="1221">
        <v>0</v>
      </c>
      <c r="AJ373" s="1221">
        <v>0</v>
      </c>
      <c r="AK373" s="1221">
        <v>0</v>
      </c>
      <c r="AL373" s="1221">
        <v>0</v>
      </c>
      <c r="AM373" s="1221">
        <v>0</v>
      </c>
      <c r="AN373" s="1221">
        <v>0</v>
      </c>
      <c r="AO373" s="1221">
        <v>0</v>
      </c>
      <c r="AP373" s="1221">
        <v>0</v>
      </c>
      <c r="AQ373" s="1221">
        <v>0</v>
      </c>
      <c r="AR373" s="1221">
        <v>0</v>
      </c>
      <c r="AS373" s="1221">
        <v>0</v>
      </c>
      <c r="AT373" s="1221">
        <v>0</v>
      </c>
      <c r="AU373" s="1221">
        <v>0</v>
      </c>
      <c r="AV373" s="1221">
        <v>0</v>
      </c>
      <c r="AW373" s="1221">
        <v>0</v>
      </c>
      <c r="AX373" s="1221">
        <v>0</v>
      </c>
      <c r="AY373" s="1221">
        <v>0</v>
      </c>
      <c r="AZ373" s="1221">
        <v>0</v>
      </c>
      <c r="BA373" s="1221">
        <v>0</v>
      </c>
      <c r="BB373" s="1184"/>
      <c r="BC373" s="1184"/>
      <c r="BD373" s="1184"/>
      <c r="BE373" s="1184"/>
      <c r="BF373" s="1184"/>
      <c r="BG373" s="1184"/>
      <c r="BH373" s="1184"/>
      <c r="BI373" s="1184"/>
      <c r="BJ373" s="1184"/>
      <c r="BK373" s="1184"/>
      <c r="BL373" s="208"/>
      <c r="BM373" s="1184"/>
      <c r="BN373" s="1184"/>
      <c r="BO373" s="1184"/>
      <c r="BP373" s="1184"/>
      <c r="BQ373" s="1184"/>
      <c r="BR373" s="1184"/>
      <c r="BS373" s="1184"/>
      <c r="BT373" s="1184"/>
      <c r="BU373" s="1184"/>
      <c r="BV373" s="1184"/>
      <c r="BW373" s="1184"/>
      <c r="BX373" s="1184"/>
      <c r="BY373" s="1184"/>
      <c r="BZ373" s="208"/>
      <c r="CA373" s="208"/>
      <c r="CB373" s="208"/>
      <c r="CC373" s="208"/>
      <c r="CD373" s="211"/>
    </row>
    <row r="374" ht="18" customHeight="1">
      <c r="A374" s="1284">
        <v>5</v>
      </c>
      <c r="B374" s="1233">
        <f t="shared" si="5372" ref="B374:Q389">$F$282</f>
        <v>0</v>
      </c>
      <c r="C374" s="1233">
        <f t="shared" si="5368"/>
        <v>0</v>
      </c>
      <c r="D374" s="1233">
        <f t="shared" si="5365"/>
        <v>0</v>
      </c>
      <c r="E374" s="1233">
        <f t="shared" si="5363"/>
        <v>0</v>
      </c>
      <c r="F374" s="1233">
        <f t="shared" si="5362"/>
        <v>0</v>
      </c>
      <c r="G374" s="1221">
        <v>0</v>
      </c>
      <c r="H374" s="1221">
        <v>0</v>
      </c>
      <c r="I374" s="1221">
        <v>0</v>
      </c>
      <c r="J374" s="1221">
        <v>0</v>
      </c>
      <c r="K374" s="1221">
        <v>0</v>
      </c>
      <c r="L374" s="1221">
        <v>0</v>
      </c>
      <c r="M374" s="1221">
        <v>0</v>
      </c>
      <c r="N374" s="1221">
        <v>0</v>
      </c>
      <c r="O374" s="1221">
        <v>0</v>
      </c>
      <c r="P374" s="1221">
        <v>0</v>
      </c>
      <c r="Q374" s="1221">
        <v>0</v>
      </c>
      <c r="R374" s="1221">
        <v>0</v>
      </c>
      <c r="S374" s="1221">
        <v>0</v>
      </c>
      <c r="T374" s="1221">
        <v>0</v>
      </c>
      <c r="U374" s="1221">
        <v>0</v>
      </c>
      <c r="V374" s="1221">
        <v>0</v>
      </c>
      <c r="W374" s="1221">
        <v>0</v>
      </c>
      <c r="X374" s="1221">
        <v>0</v>
      </c>
      <c r="Y374" s="1221">
        <v>0</v>
      </c>
      <c r="Z374" s="1221">
        <v>0</v>
      </c>
      <c r="AA374" s="1221">
        <v>0</v>
      </c>
      <c r="AB374" s="1221">
        <v>0</v>
      </c>
      <c r="AC374" s="1221">
        <v>0</v>
      </c>
      <c r="AD374" s="1221">
        <v>0</v>
      </c>
      <c r="AE374" s="1221">
        <v>0</v>
      </c>
      <c r="AF374" s="1221">
        <v>0</v>
      </c>
      <c r="AG374" s="1221">
        <v>0</v>
      </c>
      <c r="AH374" s="1221">
        <v>0</v>
      </c>
      <c r="AI374" s="1221">
        <v>0</v>
      </c>
      <c r="AJ374" s="1221">
        <v>0</v>
      </c>
      <c r="AK374" s="1221">
        <v>0</v>
      </c>
      <c r="AL374" s="1221">
        <v>0</v>
      </c>
      <c r="AM374" s="1221">
        <v>0</v>
      </c>
      <c r="AN374" s="1221">
        <v>0</v>
      </c>
      <c r="AO374" s="1221">
        <v>0</v>
      </c>
      <c r="AP374" s="1221">
        <v>0</v>
      </c>
      <c r="AQ374" s="1221">
        <v>0</v>
      </c>
      <c r="AR374" s="1221">
        <v>0</v>
      </c>
      <c r="AS374" s="1221">
        <v>0</v>
      </c>
      <c r="AT374" s="1221">
        <v>0</v>
      </c>
      <c r="AU374" s="1221">
        <v>0</v>
      </c>
      <c r="AV374" s="1221">
        <v>0</v>
      </c>
      <c r="AW374" s="1221">
        <v>0</v>
      </c>
      <c r="AX374" s="1221">
        <v>0</v>
      </c>
      <c r="AY374" s="1221">
        <v>0</v>
      </c>
      <c r="AZ374" s="1221">
        <v>0</v>
      </c>
      <c r="BA374" s="1221">
        <v>0</v>
      </c>
      <c r="BB374" s="1184"/>
      <c r="BC374" s="1184"/>
      <c r="BD374" s="1184"/>
      <c r="BE374" s="1184"/>
      <c r="BF374" s="1184"/>
      <c r="BG374" s="1184"/>
      <c r="BH374" s="1184"/>
      <c r="BI374" s="1184"/>
      <c r="BJ374" s="1184"/>
      <c r="BK374" s="1184"/>
      <c r="BL374" s="208"/>
      <c r="BM374" s="1184"/>
      <c r="BN374" s="1184"/>
      <c r="BO374" s="1184"/>
      <c r="BP374" s="1184"/>
      <c r="BQ374" s="1184"/>
      <c r="BR374" s="1184"/>
      <c r="BS374" s="1184"/>
      <c r="BT374" s="1184"/>
      <c r="BU374" s="1184"/>
      <c r="BV374" s="1184"/>
      <c r="BW374" s="1184"/>
      <c r="BX374" s="1184"/>
      <c r="BY374" s="1184"/>
      <c r="BZ374" s="208"/>
      <c r="CA374" s="208"/>
      <c r="CB374" s="208"/>
      <c r="CC374" s="208"/>
      <c r="CD374" s="211"/>
    </row>
    <row r="375" ht="18" customHeight="1">
      <c r="A375" s="1284">
        <v>6</v>
      </c>
      <c r="B375" s="1233">
        <f t="shared" si="5377" ref="B375:Q390">$F$283</f>
        <v>0</v>
      </c>
      <c r="C375" s="1233">
        <f t="shared" si="5372"/>
        <v>0</v>
      </c>
      <c r="D375" s="1233">
        <f t="shared" si="5368"/>
        <v>0</v>
      </c>
      <c r="E375" s="1233">
        <f t="shared" si="5365"/>
        <v>0</v>
      </c>
      <c r="F375" s="1233">
        <f t="shared" si="5363"/>
        <v>0</v>
      </c>
      <c r="G375" s="1233">
        <f t="shared" si="5362"/>
        <v>0</v>
      </c>
      <c r="H375" s="1221">
        <v>0</v>
      </c>
      <c r="I375" s="1221">
        <v>0</v>
      </c>
      <c r="J375" s="1221">
        <v>0</v>
      </c>
      <c r="K375" s="1221">
        <v>0</v>
      </c>
      <c r="L375" s="1221">
        <v>0</v>
      </c>
      <c r="M375" s="1221">
        <v>0</v>
      </c>
      <c r="N375" s="1221">
        <v>0</v>
      </c>
      <c r="O375" s="1221">
        <v>0</v>
      </c>
      <c r="P375" s="1221">
        <v>0</v>
      </c>
      <c r="Q375" s="1221">
        <v>0</v>
      </c>
      <c r="R375" s="1221">
        <v>0</v>
      </c>
      <c r="S375" s="1221">
        <v>0</v>
      </c>
      <c r="T375" s="1221">
        <v>0</v>
      </c>
      <c r="U375" s="1221">
        <v>0</v>
      </c>
      <c r="V375" s="1221">
        <v>0</v>
      </c>
      <c r="W375" s="1221">
        <v>0</v>
      </c>
      <c r="X375" s="1221">
        <v>0</v>
      </c>
      <c r="Y375" s="1221">
        <v>0</v>
      </c>
      <c r="Z375" s="1221">
        <v>0</v>
      </c>
      <c r="AA375" s="1221">
        <v>0</v>
      </c>
      <c r="AB375" s="1221">
        <v>0</v>
      </c>
      <c r="AC375" s="1221">
        <v>0</v>
      </c>
      <c r="AD375" s="1221">
        <v>0</v>
      </c>
      <c r="AE375" s="1221">
        <v>0</v>
      </c>
      <c r="AF375" s="1221">
        <v>0</v>
      </c>
      <c r="AG375" s="1221">
        <v>0</v>
      </c>
      <c r="AH375" s="1221">
        <v>0</v>
      </c>
      <c r="AI375" s="1221">
        <v>0</v>
      </c>
      <c r="AJ375" s="1221">
        <v>0</v>
      </c>
      <c r="AK375" s="1221">
        <v>0</v>
      </c>
      <c r="AL375" s="1221">
        <v>0</v>
      </c>
      <c r="AM375" s="1221">
        <v>0</v>
      </c>
      <c r="AN375" s="1221">
        <v>0</v>
      </c>
      <c r="AO375" s="1221">
        <v>0</v>
      </c>
      <c r="AP375" s="1221">
        <v>0</v>
      </c>
      <c r="AQ375" s="1221">
        <v>0</v>
      </c>
      <c r="AR375" s="1221">
        <v>0</v>
      </c>
      <c r="AS375" s="1221">
        <v>0</v>
      </c>
      <c r="AT375" s="1221">
        <v>0</v>
      </c>
      <c r="AU375" s="1221">
        <v>0</v>
      </c>
      <c r="AV375" s="1221">
        <v>0</v>
      </c>
      <c r="AW375" s="1221">
        <v>0</v>
      </c>
      <c r="AX375" s="1221">
        <v>0</v>
      </c>
      <c r="AY375" s="1221">
        <v>0</v>
      </c>
      <c r="AZ375" s="1221">
        <v>0</v>
      </c>
      <c r="BA375" s="1221">
        <v>0</v>
      </c>
      <c r="BB375" s="1184"/>
      <c r="BC375" s="1184"/>
      <c r="BD375" s="1184"/>
      <c r="BE375" s="1184"/>
      <c r="BF375" s="1184"/>
      <c r="BG375" s="1184"/>
      <c r="BH375" s="1184"/>
      <c r="BI375" s="1184"/>
      <c r="BJ375" s="1184"/>
      <c r="BK375" s="1184"/>
      <c r="BL375" s="208"/>
      <c r="BM375" s="1184"/>
      <c r="BN375" s="1184"/>
      <c r="BO375" s="1184"/>
      <c r="BP375" s="1184"/>
      <c r="BQ375" s="1184"/>
      <c r="BR375" s="1184"/>
      <c r="BS375" s="1184"/>
      <c r="BT375" s="1184"/>
      <c r="BU375" s="1184"/>
      <c r="BV375" s="1184"/>
      <c r="BW375" s="1184"/>
      <c r="BX375" s="1184"/>
      <c r="BY375" s="1184"/>
      <c r="BZ375" s="208"/>
      <c r="CA375" s="208"/>
      <c r="CB375" s="208"/>
      <c r="CC375" s="208"/>
      <c r="CD375" s="211"/>
    </row>
    <row r="376" ht="18" customHeight="1">
      <c r="A376" s="1284">
        <v>7</v>
      </c>
      <c r="B376" s="1233">
        <f t="shared" si="5383" ref="B376:Q391">$F$284</f>
        <v>0</v>
      </c>
      <c r="C376" s="1233">
        <f t="shared" si="5377"/>
        <v>0</v>
      </c>
      <c r="D376" s="1233">
        <f t="shared" si="5372"/>
        <v>0</v>
      </c>
      <c r="E376" s="1233">
        <f t="shared" si="5368"/>
        <v>0</v>
      </c>
      <c r="F376" s="1233">
        <f t="shared" si="5365"/>
        <v>0</v>
      </c>
      <c r="G376" s="1233">
        <f t="shared" si="5363"/>
        <v>0</v>
      </c>
      <c r="H376" s="1233">
        <f t="shared" si="5362"/>
        <v>0</v>
      </c>
      <c r="I376" s="1221">
        <v>0</v>
      </c>
      <c r="J376" s="1221">
        <v>0</v>
      </c>
      <c r="K376" s="1221">
        <v>0</v>
      </c>
      <c r="L376" s="1221">
        <v>0</v>
      </c>
      <c r="M376" s="1221">
        <v>0</v>
      </c>
      <c r="N376" s="1221">
        <v>0</v>
      </c>
      <c r="O376" s="1221">
        <v>0</v>
      </c>
      <c r="P376" s="1221">
        <v>0</v>
      </c>
      <c r="Q376" s="1221">
        <v>0</v>
      </c>
      <c r="R376" s="1221">
        <v>0</v>
      </c>
      <c r="S376" s="1221">
        <v>0</v>
      </c>
      <c r="T376" s="1221">
        <v>0</v>
      </c>
      <c r="U376" s="1221">
        <v>0</v>
      </c>
      <c r="V376" s="1221">
        <v>0</v>
      </c>
      <c r="W376" s="1221">
        <v>0</v>
      </c>
      <c r="X376" s="1221">
        <v>0</v>
      </c>
      <c r="Y376" s="1221">
        <v>0</v>
      </c>
      <c r="Z376" s="1221">
        <v>0</v>
      </c>
      <c r="AA376" s="1221">
        <v>0</v>
      </c>
      <c r="AB376" s="1221">
        <v>0</v>
      </c>
      <c r="AC376" s="1221">
        <v>0</v>
      </c>
      <c r="AD376" s="1221">
        <v>0</v>
      </c>
      <c r="AE376" s="1221">
        <v>0</v>
      </c>
      <c r="AF376" s="1221">
        <v>0</v>
      </c>
      <c r="AG376" s="1221">
        <v>0</v>
      </c>
      <c r="AH376" s="1221">
        <v>0</v>
      </c>
      <c r="AI376" s="1221">
        <v>0</v>
      </c>
      <c r="AJ376" s="1221">
        <v>0</v>
      </c>
      <c r="AK376" s="1221">
        <v>0</v>
      </c>
      <c r="AL376" s="1221">
        <v>0</v>
      </c>
      <c r="AM376" s="1221">
        <v>0</v>
      </c>
      <c r="AN376" s="1221">
        <v>0</v>
      </c>
      <c r="AO376" s="1221">
        <v>0</v>
      </c>
      <c r="AP376" s="1221">
        <v>0</v>
      </c>
      <c r="AQ376" s="1221">
        <v>0</v>
      </c>
      <c r="AR376" s="1221">
        <v>0</v>
      </c>
      <c r="AS376" s="1221">
        <v>0</v>
      </c>
      <c r="AT376" s="1221">
        <v>0</v>
      </c>
      <c r="AU376" s="1221">
        <v>0</v>
      </c>
      <c r="AV376" s="1221">
        <v>0</v>
      </c>
      <c r="AW376" s="1221">
        <v>0</v>
      </c>
      <c r="AX376" s="1221">
        <v>0</v>
      </c>
      <c r="AY376" s="1221">
        <v>0</v>
      </c>
      <c r="AZ376" s="1221">
        <v>0</v>
      </c>
      <c r="BA376" s="1221">
        <v>0</v>
      </c>
      <c r="BB376" s="1184"/>
      <c r="BC376" s="1184"/>
      <c r="BD376" s="1184"/>
      <c r="BE376" s="1184"/>
      <c r="BF376" s="1184"/>
      <c r="BG376" s="1184"/>
      <c r="BH376" s="1184"/>
      <c r="BI376" s="1184"/>
      <c r="BJ376" s="1184"/>
      <c r="BK376" s="1184"/>
      <c r="BL376" s="208"/>
      <c r="BM376" s="1184"/>
      <c r="BN376" s="1184"/>
      <c r="BO376" s="1184"/>
      <c r="BP376" s="1184"/>
      <c r="BQ376" s="1184"/>
      <c r="BR376" s="1184"/>
      <c r="BS376" s="1184"/>
      <c r="BT376" s="1184"/>
      <c r="BU376" s="1184"/>
      <c r="BV376" s="1184"/>
      <c r="BW376" s="1184"/>
      <c r="BX376" s="1184"/>
      <c r="BY376" s="1184"/>
      <c r="BZ376" s="208"/>
      <c r="CA376" s="208"/>
      <c r="CB376" s="208"/>
      <c r="CC376" s="208"/>
      <c r="CD376" s="211"/>
    </row>
    <row r="377" ht="18" customHeight="1">
      <c r="A377" s="1284">
        <v>8</v>
      </c>
      <c r="B377" s="1233">
        <f t="shared" si="5390" ref="B377:Q392">$F$285</f>
        <v>0</v>
      </c>
      <c r="C377" s="1233">
        <f t="shared" si="5383"/>
        <v>0</v>
      </c>
      <c r="D377" s="1233">
        <f t="shared" si="5377"/>
        <v>0</v>
      </c>
      <c r="E377" s="1233">
        <f t="shared" si="5372"/>
        <v>0</v>
      </c>
      <c r="F377" s="1233">
        <f t="shared" si="5368"/>
        <v>0</v>
      </c>
      <c r="G377" s="1233">
        <f t="shared" si="5365"/>
        <v>0</v>
      </c>
      <c r="H377" s="1233">
        <f t="shared" si="5363"/>
        <v>0</v>
      </c>
      <c r="I377" s="1233">
        <f t="shared" si="5362"/>
        <v>0</v>
      </c>
      <c r="J377" s="1221">
        <v>0</v>
      </c>
      <c r="K377" s="1221">
        <v>0</v>
      </c>
      <c r="L377" s="1221">
        <v>0</v>
      </c>
      <c r="M377" s="1221">
        <v>0</v>
      </c>
      <c r="N377" s="1221">
        <v>0</v>
      </c>
      <c r="O377" s="1221">
        <v>0</v>
      </c>
      <c r="P377" s="1221">
        <v>0</v>
      </c>
      <c r="Q377" s="1221">
        <v>0</v>
      </c>
      <c r="R377" s="1221">
        <v>0</v>
      </c>
      <c r="S377" s="1221">
        <v>0</v>
      </c>
      <c r="T377" s="1221">
        <v>0</v>
      </c>
      <c r="U377" s="1221">
        <v>0</v>
      </c>
      <c r="V377" s="1221">
        <v>0</v>
      </c>
      <c r="W377" s="1221">
        <v>0</v>
      </c>
      <c r="X377" s="1221">
        <v>0</v>
      </c>
      <c r="Y377" s="1221">
        <v>0</v>
      </c>
      <c r="Z377" s="1221">
        <v>0</v>
      </c>
      <c r="AA377" s="1221">
        <v>0</v>
      </c>
      <c r="AB377" s="1221">
        <v>0</v>
      </c>
      <c r="AC377" s="1221">
        <v>0</v>
      </c>
      <c r="AD377" s="1221">
        <v>0</v>
      </c>
      <c r="AE377" s="1221">
        <v>0</v>
      </c>
      <c r="AF377" s="1221">
        <v>0</v>
      </c>
      <c r="AG377" s="1221">
        <v>0</v>
      </c>
      <c r="AH377" s="1221">
        <v>0</v>
      </c>
      <c r="AI377" s="1221">
        <v>0</v>
      </c>
      <c r="AJ377" s="1221">
        <v>0</v>
      </c>
      <c r="AK377" s="1221">
        <v>0</v>
      </c>
      <c r="AL377" s="1221">
        <v>0</v>
      </c>
      <c r="AM377" s="1221">
        <v>0</v>
      </c>
      <c r="AN377" s="1221">
        <v>0</v>
      </c>
      <c r="AO377" s="1221">
        <v>0</v>
      </c>
      <c r="AP377" s="1221">
        <v>0</v>
      </c>
      <c r="AQ377" s="1221">
        <v>0</v>
      </c>
      <c r="AR377" s="1221">
        <v>0</v>
      </c>
      <c r="AS377" s="1221">
        <v>0</v>
      </c>
      <c r="AT377" s="1221">
        <v>0</v>
      </c>
      <c r="AU377" s="1221">
        <v>0</v>
      </c>
      <c r="AV377" s="1221">
        <v>0</v>
      </c>
      <c r="AW377" s="1221">
        <v>0</v>
      </c>
      <c r="AX377" s="1221">
        <v>0</v>
      </c>
      <c r="AY377" s="1221">
        <v>0</v>
      </c>
      <c r="AZ377" s="1221">
        <v>0</v>
      </c>
      <c r="BA377" s="1221">
        <v>0</v>
      </c>
      <c r="BB377" s="1184"/>
      <c r="BC377" s="1184"/>
      <c r="BD377" s="1184"/>
      <c r="BE377" s="1184"/>
      <c r="BF377" s="1184"/>
      <c r="BG377" s="1184"/>
      <c r="BH377" s="1184"/>
      <c r="BI377" s="1184"/>
      <c r="BJ377" s="1184"/>
      <c r="BK377" s="1184"/>
      <c r="BL377" s="208"/>
      <c r="BM377" s="1184"/>
      <c r="BN377" s="1184"/>
      <c r="BO377" s="1184"/>
      <c r="BP377" s="1184"/>
      <c r="BQ377" s="1184"/>
      <c r="BR377" s="1184"/>
      <c r="BS377" s="1184"/>
      <c r="BT377" s="1184"/>
      <c r="BU377" s="1184"/>
      <c r="BV377" s="1184"/>
      <c r="BW377" s="1184"/>
      <c r="BX377" s="1184"/>
      <c r="BY377" s="1184"/>
      <c r="BZ377" s="208"/>
      <c r="CA377" s="208"/>
      <c r="CB377" s="208"/>
      <c r="CC377" s="208"/>
      <c r="CD377" s="211"/>
    </row>
    <row r="378" ht="18" customHeight="1">
      <c r="A378" s="1284">
        <v>9</v>
      </c>
      <c r="B378" s="1233">
        <f t="shared" si="5398" ref="B378:Q393">$F$286</f>
        <v>0</v>
      </c>
      <c r="C378" s="1233">
        <f t="shared" si="5390"/>
        <v>0</v>
      </c>
      <c r="D378" s="1233">
        <f t="shared" si="5383"/>
        <v>0</v>
      </c>
      <c r="E378" s="1233">
        <f t="shared" si="5377"/>
        <v>0</v>
      </c>
      <c r="F378" s="1233">
        <f t="shared" si="5372"/>
        <v>0</v>
      </c>
      <c r="G378" s="1233">
        <f t="shared" si="5368"/>
        <v>0</v>
      </c>
      <c r="H378" s="1233">
        <f t="shared" si="5365"/>
        <v>0</v>
      </c>
      <c r="I378" s="1233">
        <f t="shared" si="5363"/>
        <v>0</v>
      </c>
      <c r="J378" s="1233">
        <f t="shared" si="5362"/>
        <v>0</v>
      </c>
      <c r="K378" s="1221">
        <v>0</v>
      </c>
      <c r="L378" s="1221">
        <v>0</v>
      </c>
      <c r="M378" s="1221">
        <v>0</v>
      </c>
      <c r="N378" s="1221">
        <v>0</v>
      </c>
      <c r="O378" s="1221">
        <v>0</v>
      </c>
      <c r="P378" s="1221">
        <v>0</v>
      </c>
      <c r="Q378" s="1221">
        <v>0</v>
      </c>
      <c r="R378" s="1221">
        <v>0</v>
      </c>
      <c r="S378" s="1221">
        <v>0</v>
      </c>
      <c r="T378" s="1221">
        <v>0</v>
      </c>
      <c r="U378" s="1221">
        <v>0</v>
      </c>
      <c r="V378" s="1221">
        <v>0</v>
      </c>
      <c r="W378" s="1221">
        <v>0</v>
      </c>
      <c r="X378" s="1221">
        <v>0</v>
      </c>
      <c r="Y378" s="1221">
        <v>0</v>
      </c>
      <c r="Z378" s="1221">
        <v>0</v>
      </c>
      <c r="AA378" s="1221">
        <v>0</v>
      </c>
      <c r="AB378" s="1221">
        <v>0</v>
      </c>
      <c r="AC378" s="1221">
        <v>0</v>
      </c>
      <c r="AD378" s="1221">
        <v>0</v>
      </c>
      <c r="AE378" s="1221">
        <v>0</v>
      </c>
      <c r="AF378" s="1221">
        <v>0</v>
      </c>
      <c r="AG378" s="1221">
        <v>0</v>
      </c>
      <c r="AH378" s="1221">
        <v>0</v>
      </c>
      <c r="AI378" s="1221">
        <v>0</v>
      </c>
      <c r="AJ378" s="1221">
        <v>0</v>
      </c>
      <c r="AK378" s="1221">
        <v>0</v>
      </c>
      <c r="AL378" s="1221">
        <v>0</v>
      </c>
      <c r="AM378" s="1221">
        <v>0</v>
      </c>
      <c r="AN378" s="1221">
        <v>0</v>
      </c>
      <c r="AO378" s="1221">
        <v>0</v>
      </c>
      <c r="AP378" s="1221">
        <v>0</v>
      </c>
      <c r="AQ378" s="1221">
        <v>0</v>
      </c>
      <c r="AR378" s="1221">
        <v>0</v>
      </c>
      <c r="AS378" s="1221">
        <v>0</v>
      </c>
      <c r="AT378" s="1221">
        <v>0</v>
      </c>
      <c r="AU378" s="1221">
        <v>0</v>
      </c>
      <c r="AV378" s="1221">
        <v>0</v>
      </c>
      <c r="AW378" s="1221">
        <v>0</v>
      </c>
      <c r="AX378" s="1221">
        <v>0</v>
      </c>
      <c r="AY378" s="1221">
        <v>0</v>
      </c>
      <c r="AZ378" s="1221">
        <v>0</v>
      </c>
      <c r="BA378" s="1221">
        <v>0</v>
      </c>
      <c r="BB378" s="1184"/>
      <c r="BC378" s="1184"/>
      <c r="BD378" s="1184"/>
      <c r="BE378" s="1184"/>
      <c r="BF378" s="1184"/>
      <c r="BG378" s="1184"/>
      <c r="BH378" s="1184"/>
      <c r="BI378" s="1184"/>
      <c r="BJ378" s="1184"/>
      <c r="BK378" s="1184"/>
      <c r="BL378" s="208"/>
      <c r="BM378" s="1184"/>
      <c r="BN378" s="1184"/>
      <c r="BO378" s="1184"/>
      <c r="BP378" s="1184"/>
      <c r="BQ378" s="1184"/>
      <c r="BR378" s="1184"/>
      <c r="BS378" s="1184"/>
      <c r="BT378" s="1184"/>
      <c r="BU378" s="1184"/>
      <c r="BV378" s="1184"/>
      <c r="BW378" s="1184"/>
      <c r="BX378" s="1184"/>
      <c r="BY378" s="1184"/>
      <c r="BZ378" s="208"/>
      <c r="CA378" s="208"/>
      <c r="CB378" s="208"/>
      <c r="CC378" s="208"/>
      <c r="CD378" s="211"/>
    </row>
    <row r="379" ht="18" customHeight="1">
      <c r="A379" s="1284">
        <v>10</v>
      </c>
      <c r="B379" s="1233">
        <f t="shared" si="5407" ref="B379:Q394">$F$287</f>
        <v>0</v>
      </c>
      <c r="C379" s="1233">
        <f t="shared" si="5398"/>
        <v>0</v>
      </c>
      <c r="D379" s="1233">
        <f t="shared" si="5390"/>
        <v>0</v>
      </c>
      <c r="E379" s="1233">
        <f t="shared" si="5383"/>
        <v>0</v>
      </c>
      <c r="F379" s="1233">
        <f t="shared" si="5377"/>
        <v>0</v>
      </c>
      <c r="G379" s="1233">
        <f t="shared" si="5372"/>
        <v>0</v>
      </c>
      <c r="H379" s="1233">
        <f t="shared" si="5368"/>
        <v>0</v>
      </c>
      <c r="I379" s="1233">
        <f t="shared" si="5365"/>
        <v>0</v>
      </c>
      <c r="J379" s="1233">
        <f t="shared" si="5363"/>
        <v>0</v>
      </c>
      <c r="K379" s="1233">
        <f t="shared" si="5362"/>
        <v>0</v>
      </c>
      <c r="L379" s="1221">
        <v>0</v>
      </c>
      <c r="M379" s="1221">
        <v>0</v>
      </c>
      <c r="N379" s="1221">
        <v>0</v>
      </c>
      <c r="O379" s="1221">
        <v>0</v>
      </c>
      <c r="P379" s="1221">
        <v>0</v>
      </c>
      <c r="Q379" s="1221">
        <v>0</v>
      </c>
      <c r="R379" s="1221">
        <v>0</v>
      </c>
      <c r="S379" s="1221">
        <v>0</v>
      </c>
      <c r="T379" s="1221">
        <v>0</v>
      </c>
      <c r="U379" s="1221">
        <v>0</v>
      </c>
      <c r="V379" s="1221">
        <v>0</v>
      </c>
      <c r="W379" s="1221">
        <v>0</v>
      </c>
      <c r="X379" s="1221">
        <v>0</v>
      </c>
      <c r="Y379" s="1221">
        <v>0</v>
      </c>
      <c r="Z379" s="1221">
        <v>0</v>
      </c>
      <c r="AA379" s="1221">
        <v>0</v>
      </c>
      <c r="AB379" s="1221">
        <v>0</v>
      </c>
      <c r="AC379" s="1221">
        <v>0</v>
      </c>
      <c r="AD379" s="1221">
        <v>0</v>
      </c>
      <c r="AE379" s="1221">
        <v>0</v>
      </c>
      <c r="AF379" s="1221">
        <v>0</v>
      </c>
      <c r="AG379" s="1221">
        <v>0</v>
      </c>
      <c r="AH379" s="1221">
        <v>0</v>
      </c>
      <c r="AI379" s="1221">
        <v>0</v>
      </c>
      <c r="AJ379" s="1221">
        <v>0</v>
      </c>
      <c r="AK379" s="1221">
        <v>0</v>
      </c>
      <c r="AL379" s="1221">
        <v>0</v>
      </c>
      <c r="AM379" s="1221">
        <v>0</v>
      </c>
      <c r="AN379" s="1221">
        <v>0</v>
      </c>
      <c r="AO379" s="1221">
        <v>0</v>
      </c>
      <c r="AP379" s="1221">
        <v>0</v>
      </c>
      <c r="AQ379" s="1221">
        <v>0</v>
      </c>
      <c r="AR379" s="1221">
        <v>0</v>
      </c>
      <c r="AS379" s="1221">
        <v>0</v>
      </c>
      <c r="AT379" s="1221">
        <v>0</v>
      </c>
      <c r="AU379" s="1221">
        <v>0</v>
      </c>
      <c r="AV379" s="1221">
        <v>0</v>
      </c>
      <c r="AW379" s="1221">
        <v>0</v>
      </c>
      <c r="AX379" s="1221">
        <v>0</v>
      </c>
      <c r="AY379" s="1221">
        <v>0</v>
      </c>
      <c r="AZ379" s="1221">
        <v>0</v>
      </c>
      <c r="BA379" s="1221">
        <v>0</v>
      </c>
      <c r="BB379" s="1184"/>
      <c r="BC379" s="1184"/>
      <c r="BD379" s="1184"/>
      <c r="BE379" s="1184"/>
      <c r="BF379" s="1184"/>
      <c r="BG379" s="1184"/>
      <c r="BH379" s="1184"/>
      <c r="BI379" s="1184"/>
      <c r="BJ379" s="1184"/>
      <c r="BK379" s="1184"/>
      <c r="BL379" s="208"/>
      <c r="BM379" s="1184"/>
      <c r="BN379" s="1184"/>
      <c r="BO379" s="1184"/>
      <c r="BP379" s="1184"/>
      <c r="BQ379" s="1184"/>
      <c r="BR379" s="1184"/>
      <c r="BS379" s="1184"/>
      <c r="BT379" s="1184"/>
      <c r="BU379" s="1184"/>
      <c r="BV379" s="1184"/>
      <c r="BW379" s="1184"/>
      <c r="BX379" s="1184"/>
      <c r="BY379" s="1184"/>
      <c r="BZ379" s="208"/>
      <c r="CA379" s="208"/>
      <c r="CB379" s="208"/>
      <c r="CC379" s="208"/>
      <c r="CD379" s="211"/>
    </row>
    <row r="380" ht="18" customHeight="1">
      <c r="A380" s="1284">
        <v>11</v>
      </c>
      <c r="B380" s="1233">
        <f t="shared" si="5417" ref="B380:Q395">$F$288</f>
        <v>0</v>
      </c>
      <c r="C380" s="1233">
        <f t="shared" si="5407"/>
        <v>0</v>
      </c>
      <c r="D380" s="1233">
        <f t="shared" si="5398"/>
        <v>0</v>
      </c>
      <c r="E380" s="1233">
        <f t="shared" si="5390"/>
        <v>0</v>
      </c>
      <c r="F380" s="1233">
        <f t="shared" si="5383"/>
        <v>0</v>
      </c>
      <c r="G380" s="1233">
        <f t="shared" si="5377"/>
        <v>0</v>
      </c>
      <c r="H380" s="1233">
        <f t="shared" si="5372"/>
        <v>0</v>
      </c>
      <c r="I380" s="1233">
        <f t="shared" si="5368"/>
        <v>0</v>
      </c>
      <c r="J380" s="1233">
        <f t="shared" si="5365"/>
        <v>0</v>
      </c>
      <c r="K380" s="1233">
        <f t="shared" si="5363"/>
        <v>0</v>
      </c>
      <c r="L380" s="1233">
        <f t="shared" si="5362"/>
        <v>0</v>
      </c>
      <c r="M380" s="1221">
        <v>0</v>
      </c>
      <c r="N380" s="1221">
        <v>0</v>
      </c>
      <c r="O380" s="1221">
        <v>0</v>
      </c>
      <c r="P380" s="1221">
        <v>0</v>
      </c>
      <c r="Q380" s="1221">
        <v>0</v>
      </c>
      <c r="R380" s="1221">
        <v>0</v>
      </c>
      <c r="S380" s="1221">
        <v>0</v>
      </c>
      <c r="T380" s="1221">
        <v>0</v>
      </c>
      <c r="U380" s="1221">
        <v>0</v>
      </c>
      <c r="V380" s="1221">
        <v>0</v>
      </c>
      <c r="W380" s="1221">
        <v>0</v>
      </c>
      <c r="X380" s="1221">
        <v>0</v>
      </c>
      <c r="Y380" s="1221">
        <v>0</v>
      </c>
      <c r="Z380" s="1221">
        <v>0</v>
      </c>
      <c r="AA380" s="1221">
        <v>0</v>
      </c>
      <c r="AB380" s="1221">
        <v>0</v>
      </c>
      <c r="AC380" s="1221">
        <v>0</v>
      </c>
      <c r="AD380" s="1221">
        <v>0</v>
      </c>
      <c r="AE380" s="1221">
        <v>0</v>
      </c>
      <c r="AF380" s="1221">
        <v>0</v>
      </c>
      <c r="AG380" s="1221">
        <v>0</v>
      </c>
      <c r="AH380" s="1221">
        <v>0</v>
      </c>
      <c r="AI380" s="1221">
        <v>0</v>
      </c>
      <c r="AJ380" s="1221">
        <v>0</v>
      </c>
      <c r="AK380" s="1221">
        <v>0</v>
      </c>
      <c r="AL380" s="1221">
        <v>0</v>
      </c>
      <c r="AM380" s="1221">
        <v>0</v>
      </c>
      <c r="AN380" s="1221">
        <v>0</v>
      </c>
      <c r="AO380" s="1221">
        <v>0</v>
      </c>
      <c r="AP380" s="1221">
        <v>0</v>
      </c>
      <c r="AQ380" s="1221">
        <v>0</v>
      </c>
      <c r="AR380" s="1221">
        <v>0</v>
      </c>
      <c r="AS380" s="1221">
        <v>0</v>
      </c>
      <c r="AT380" s="1221">
        <v>0</v>
      </c>
      <c r="AU380" s="1221">
        <v>0</v>
      </c>
      <c r="AV380" s="1221">
        <v>0</v>
      </c>
      <c r="AW380" s="1221">
        <v>0</v>
      </c>
      <c r="AX380" s="1221">
        <v>0</v>
      </c>
      <c r="AY380" s="1221">
        <v>0</v>
      </c>
      <c r="AZ380" s="1221">
        <v>0</v>
      </c>
      <c r="BA380" s="1221">
        <v>0</v>
      </c>
      <c r="BB380" s="1184"/>
      <c r="BC380" s="1184"/>
      <c r="BD380" s="1184"/>
      <c r="BE380" s="1184"/>
      <c r="BF380" s="1184"/>
      <c r="BG380" s="1184"/>
      <c r="BH380" s="1184"/>
      <c r="BI380" s="1184"/>
      <c r="BJ380" s="1184"/>
      <c r="BK380" s="1184"/>
      <c r="BL380" s="208"/>
      <c r="BM380" s="1184"/>
      <c r="BN380" s="1184"/>
      <c r="BO380" s="1184"/>
      <c r="BP380" s="1184"/>
      <c r="BQ380" s="1184"/>
      <c r="BR380" s="1184"/>
      <c r="BS380" s="1184"/>
      <c r="BT380" s="1184"/>
      <c r="BU380" s="1184"/>
      <c r="BV380" s="1184"/>
      <c r="BW380" s="1184"/>
      <c r="BX380" s="1184"/>
      <c r="BY380" s="1184"/>
      <c r="BZ380" s="208"/>
      <c r="CA380" s="208"/>
      <c r="CB380" s="208"/>
      <c r="CC380" s="208"/>
      <c r="CD380" s="211"/>
    </row>
    <row r="381" ht="18" customHeight="1">
      <c r="A381" s="1284">
        <v>12</v>
      </c>
      <c r="B381" s="1233">
        <f t="shared" si="5428" ref="B381:Q396">$F$289</f>
        <v>0</v>
      </c>
      <c r="C381" s="1233">
        <f t="shared" si="5417"/>
        <v>0</v>
      </c>
      <c r="D381" s="1233">
        <f t="shared" si="5407"/>
        <v>0</v>
      </c>
      <c r="E381" s="1233">
        <f t="shared" si="5398"/>
        <v>0</v>
      </c>
      <c r="F381" s="1233">
        <f t="shared" si="5390"/>
        <v>0</v>
      </c>
      <c r="G381" s="1233">
        <f t="shared" si="5383"/>
        <v>0</v>
      </c>
      <c r="H381" s="1233">
        <f t="shared" si="5377"/>
        <v>0</v>
      </c>
      <c r="I381" s="1233">
        <f t="shared" si="5372"/>
        <v>0</v>
      </c>
      <c r="J381" s="1233">
        <f t="shared" si="5368"/>
        <v>0</v>
      </c>
      <c r="K381" s="1233">
        <f t="shared" si="5365"/>
        <v>0</v>
      </c>
      <c r="L381" s="1233">
        <f t="shared" si="5363"/>
        <v>0</v>
      </c>
      <c r="M381" s="1233">
        <f t="shared" si="5362"/>
        <v>0</v>
      </c>
      <c r="N381" s="1221">
        <v>0</v>
      </c>
      <c r="O381" s="1221">
        <v>0</v>
      </c>
      <c r="P381" s="1221">
        <v>0</v>
      </c>
      <c r="Q381" s="1221">
        <v>0</v>
      </c>
      <c r="R381" s="1221">
        <v>0</v>
      </c>
      <c r="S381" s="1221">
        <v>0</v>
      </c>
      <c r="T381" s="1221">
        <v>0</v>
      </c>
      <c r="U381" s="1221">
        <v>0</v>
      </c>
      <c r="V381" s="1221">
        <v>0</v>
      </c>
      <c r="W381" s="1221">
        <v>0</v>
      </c>
      <c r="X381" s="1221">
        <v>0</v>
      </c>
      <c r="Y381" s="1221">
        <v>0</v>
      </c>
      <c r="Z381" s="1221">
        <v>0</v>
      </c>
      <c r="AA381" s="1221">
        <v>0</v>
      </c>
      <c r="AB381" s="1221">
        <v>0</v>
      </c>
      <c r="AC381" s="1221">
        <v>0</v>
      </c>
      <c r="AD381" s="1221">
        <v>0</v>
      </c>
      <c r="AE381" s="1221">
        <v>0</v>
      </c>
      <c r="AF381" s="1221">
        <v>0</v>
      </c>
      <c r="AG381" s="1221">
        <v>0</v>
      </c>
      <c r="AH381" s="1221">
        <v>0</v>
      </c>
      <c r="AI381" s="1221">
        <v>0</v>
      </c>
      <c r="AJ381" s="1221">
        <v>0</v>
      </c>
      <c r="AK381" s="1221">
        <v>0</v>
      </c>
      <c r="AL381" s="1221">
        <v>0</v>
      </c>
      <c r="AM381" s="1221">
        <v>0</v>
      </c>
      <c r="AN381" s="1221">
        <v>0</v>
      </c>
      <c r="AO381" s="1221">
        <v>0</v>
      </c>
      <c r="AP381" s="1221">
        <v>0</v>
      </c>
      <c r="AQ381" s="1221">
        <v>0</v>
      </c>
      <c r="AR381" s="1221">
        <v>0</v>
      </c>
      <c r="AS381" s="1221">
        <v>0</v>
      </c>
      <c r="AT381" s="1221">
        <v>0</v>
      </c>
      <c r="AU381" s="1221">
        <v>0</v>
      </c>
      <c r="AV381" s="1221">
        <v>0</v>
      </c>
      <c r="AW381" s="1221">
        <v>0</v>
      </c>
      <c r="AX381" s="1221">
        <v>0</v>
      </c>
      <c r="AY381" s="1221">
        <v>0</v>
      </c>
      <c r="AZ381" s="1221">
        <v>0</v>
      </c>
      <c r="BA381" s="1221">
        <v>0</v>
      </c>
      <c r="BB381" s="1184"/>
      <c r="BC381" s="1184"/>
      <c r="BD381" s="1184"/>
      <c r="BE381" s="1184"/>
      <c r="BF381" s="1184"/>
      <c r="BG381" s="1184"/>
      <c r="BH381" s="1184"/>
      <c r="BI381" s="1184"/>
      <c r="BJ381" s="1184"/>
      <c r="BK381" s="1184"/>
      <c r="BL381" s="208"/>
      <c r="BM381" s="1184"/>
      <c r="BN381" s="1184"/>
      <c r="BO381" s="1184"/>
      <c r="BP381" s="1184"/>
      <c r="BQ381" s="1184"/>
      <c r="BR381" s="1184"/>
      <c r="BS381" s="1184"/>
      <c r="BT381" s="1184"/>
      <c r="BU381" s="1184"/>
      <c r="BV381" s="1184"/>
      <c r="BW381" s="1184"/>
      <c r="BX381" s="1184"/>
      <c r="BY381" s="1184"/>
      <c r="BZ381" s="208"/>
      <c r="CA381" s="208"/>
      <c r="CB381" s="208"/>
      <c r="CC381" s="208"/>
      <c r="CD381" s="211"/>
    </row>
    <row r="382" ht="18" customHeight="1">
      <c r="A382" s="1284">
        <v>13</v>
      </c>
      <c r="B382" s="1233">
        <f t="shared" si="5440" ref="B382:Q397">$F$290</f>
        <v>0</v>
      </c>
      <c r="C382" s="1233">
        <f t="shared" si="5428"/>
        <v>0</v>
      </c>
      <c r="D382" s="1233">
        <f t="shared" si="5417"/>
        <v>0</v>
      </c>
      <c r="E382" s="1233">
        <f t="shared" si="5407"/>
        <v>0</v>
      </c>
      <c r="F382" s="1233">
        <f t="shared" si="5398"/>
        <v>0</v>
      </c>
      <c r="G382" s="1233">
        <f t="shared" si="5390"/>
        <v>0</v>
      </c>
      <c r="H382" s="1233">
        <f t="shared" si="5383"/>
        <v>0</v>
      </c>
      <c r="I382" s="1233">
        <f t="shared" si="5377"/>
        <v>0</v>
      </c>
      <c r="J382" s="1233">
        <f t="shared" si="5372"/>
        <v>0</v>
      </c>
      <c r="K382" s="1233">
        <f t="shared" si="5368"/>
        <v>0</v>
      </c>
      <c r="L382" s="1233">
        <f t="shared" si="5365"/>
        <v>0</v>
      </c>
      <c r="M382" s="1233">
        <f t="shared" si="5363"/>
        <v>0</v>
      </c>
      <c r="N382" s="1233">
        <f t="shared" si="5362"/>
        <v>0</v>
      </c>
      <c r="O382" s="1221">
        <v>0</v>
      </c>
      <c r="P382" s="1221">
        <v>0</v>
      </c>
      <c r="Q382" s="1221">
        <v>0</v>
      </c>
      <c r="R382" s="1221">
        <v>0</v>
      </c>
      <c r="S382" s="1221">
        <v>0</v>
      </c>
      <c r="T382" s="1221">
        <v>0</v>
      </c>
      <c r="U382" s="1221">
        <v>0</v>
      </c>
      <c r="V382" s="1221">
        <v>0</v>
      </c>
      <c r="W382" s="1221">
        <v>0</v>
      </c>
      <c r="X382" s="1221">
        <v>0</v>
      </c>
      <c r="Y382" s="1221">
        <v>0</v>
      </c>
      <c r="Z382" s="1221">
        <v>0</v>
      </c>
      <c r="AA382" s="1221">
        <v>0</v>
      </c>
      <c r="AB382" s="1221">
        <v>0</v>
      </c>
      <c r="AC382" s="1221">
        <v>0</v>
      </c>
      <c r="AD382" s="1221">
        <v>0</v>
      </c>
      <c r="AE382" s="1221">
        <v>0</v>
      </c>
      <c r="AF382" s="1221">
        <v>0</v>
      </c>
      <c r="AG382" s="1221">
        <v>0</v>
      </c>
      <c r="AH382" s="1221">
        <v>0</v>
      </c>
      <c r="AI382" s="1221">
        <v>0</v>
      </c>
      <c r="AJ382" s="1221">
        <v>0</v>
      </c>
      <c r="AK382" s="1221">
        <v>0</v>
      </c>
      <c r="AL382" s="1221">
        <v>0</v>
      </c>
      <c r="AM382" s="1221">
        <v>0</v>
      </c>
      <c r="AN382" s="1221">
        <v>0</v>
      </c>
      <c r="AO382" s="1221">
        <v>0</v>
      </c>
      <c r="AP382" s="1221">
        <v>0</v>
      </c>
      <c r="AQ382" s="1221">
        <v>0</v>
      </c>
      <c r="AR382" s="1221">
        <v>0</v>
      </c>
      <c r="AS382" s="1221">
        <v>0</v>
      </c>
      <c r="AT382" s="1221">
        <v>0</v>
      </c>
      <c r="AU382" s="1221">
        <v>0</v>
      </c>
      <c r="AV382" s="1221">
        <v>0</v>
      </c>
      <c r="AW382" s="1221">
        <v>0</v>
      </c>
      <c r="AX382" s="1221">
        <v>0</v>
      </c>
      <c r="AY382" s="1221">
        <v>0</v>
      </c>
      <c r="AZ382" s="1221">
        <v>0</v>
      </c>
      <c r="BA382" s="1221">
        <v>0</v>
      </c>
      <c r="BB382" s="1184"/>
      <c r="BC382" s="1184"/>
      <c r="BD382" s="1184"/>
      <c r="BE382" s="1184"/>
      <c r="BF382" s="1184"/>
      <c r="BG382" s="1184"/>
      <c r="BH382" s="1184"/>
      <c r="BI382" s="1184"/>
      <c r="BJ382" s="1184"/>
      <c r="BK382" s="1184"/>
      <c r="BL382" s="208"/>
      <c r="BM382" s="1184"/>
      <c r="BN382" s="1184"/>
      <c r="BO382" s="1184"/>
      <c r="BP382" s="1184"/>
      <c r="BQ382" s="1184"/>
      <c r="BR382" s="1184"/>
      <c r="BS382" s="1184"/>
      <c r="BT382" s="1184"/>
      <c r="BU382" s="1184"/>
      <c r="BV382" s="1184"/>
      <c r="BW382" s="1184"/>
      <c r="BX382" s="1184"/>
      <c r="BY382" s="1184"/>
      <c r="BZ382" s="208"/>
      <c r="CA382" s="208"/>
      <c r="CB382" s="208"/>
      <c r="CC382" s="208"/>
      <c r="CD382" s="211"/>
    </row>
    <row r="383" ht="18" customHeight="1">
      <c r="A383" s="1284">
        <v>15</v>
      </c>
      <c r="B383" s="1233">
        <f t="shared" si="5453" ref="B383:Q398">$F$291</f>
        <v>0</v>
      </c>
      <c r="C383" s="1233">
        <f t="shared" si="5440"/>
        <v>0</v>
      </c>
      <c r="D383" s="1233">
        <f t="shared" si="5428"/>
        <v>0</v>
      </c>
      <c r="E383" s="1233">
        <f t="shared" si="5417"/>
        <v>0</v>
      </c>
      <c r="F383" s="1233">
        <f t="shared" si="5407"/>
        <v>0</v>
      </c>
      <c r="G383" s="1233">
        <f t="shared" si="5398"/>
        <v>0</v>
      </c>
      <c r="H383" s="1233">
        <f t="shared" si="5390"/>
        <v>0</v>
      </c>
      <c r="I383" s="1233">
        <f t="shared" si="5383"/>
        <v>0</v>
      </c>
      <c r="J383" s="1233">
        <f t="shared" si="5377"/>
        <v>0</v>
      </c>
      <c r="K383" s="1233">
        <f t="shared" si="5372"/>
        <v>0</v>
      </c>
      <c r="L383" s="1233">
        <f t="shared" si="5368"/>
        <v>0</v>
      </c>
      <c r="M383" s="1233">
        <f t="shared" si="5365"/>
        <v>0</v>
      </c>
      <c r="N383" s="1233">
        <f t="shared" si="5363"/>
        <v>0</v>
      </c>
      <c r="O383" s="1233">
        <f t="shared" si="5362"/>
        <v>0</v>
      </c>
      <c r="P383" s="1221">
        <v>0</v>
      </c>
      <c r="Q383" s="1221">
        <v>0</v>
      </c>
      <c r="R383" s="1221">
        <v>0</v>
      </c>
      <c r="S383" s="1221">
        <v>0</v>
      </c>
      <c r="T383" s="1221">
        <v>0</v>
      </c>
      <c r="U383" s="1221">
        <v>0</v>
      </c>
      <c r="V383" s="1221">
        <v>0</v>
      </c>
      <c r="W383" s="1221">
        <v>0</v>
      </c>
      <c r="X383" s="1221">
        <v>0</v>
      </c>
      <c r="Y383" s="1221">
        <v>0</v>
      </c>
      <c r="Z383" s="1221">
        <v>0</v>
      </c>
      <c r="AA383" s="1221">
        <v>0</v>
      </c>
      <c r="AB383" s="1221">
        <v>0</v>
      </c>
      <c r="AC383" s="1221">
        <v>0</v>
      </c>
      <c r="AD383" s="1221">
        <v>0</v>
      </c>
      <c r="AE383" s="1221">
        <v>0</v>
      </c>
      <c r="AF383" s="1221">
        <v>0</v>
      </c>
      <c r="AG383" s="1221">
        <v>0</v>
      </c>
      <c r="AH383" s="1221">
        <v>0</v>
      </c>
      <c r="AI383" s="1221">
        <v>0</v>
      </c>
      <c r="AJ383" s="1221">
        <v>0</v>
      </c>
      <c r="AK383" s="1221">
        <v>0</v>
      </c>
      <c r="AL383" s="1221">
        <v>0</v>
      </c>
      <c r="AM383" s="1221">
        <v>0</v>
      </c>
      <c r="AN383" s="1221">
        <v>0</v>
      </c>
      <c r="AO383" s="1221">
        <v>0</v>
      </c>
      <c r="AP383" s="1221">
        <v>0</v>
      </c>
      <c r="AQ383" s="1221">
        <v>0</v>
      </c>
      <c r="AR383" s="1221">
        <v>0</v>
      </c>
      <c r="AS383" s="1221">
        <v>0</v>
      </c>
      <c r="AT383" s="1221">
        <v>0</v>
      </c>
      <c r="AU383" s="1221">
        <v>0</v>
      </c>
      <c r="AV383" s="1221">
        <v>0</v>
      </c>
      <c r="AW383" s="1221">
        <v>0</v>
      </c>
      <c r="AX383" s="1221">
        <v>0</v>
      </c>
      <c r="AY383" s="1221">
        <v>0</v>
      </c>
      <c r="AZ383" s="1221">
        <v>0</v>
      </c>
      <c r="BA383" s="1221">
        <v>0</v>
      </c>
      <c r="BB383" s="1184"/>
      <c r="BC383" s="1184"/>
      <c r="BD383" s="1184"/>
      <c r="BE383" s="1184"/>
      <c r="BF383" s="1184"/>
      <c r="BG383" s="1184"/>
      <c r="BH383" s="1184"/>
      <c r="BI383" s="1184"/>
      <c r="BJ383" s="1184"/>
      <c r="BK383" s="1184"/>
      <c r="BL383" s="208"/>
      <c r="BM383" s="1184"/>
      <c r="BN383" s="1184"/>
      <c r="BO383" s="1184"/>
      <c r="BP383" s="1184"/>
      <c r="BQ383" s="1184"/>
      <c r="BR383" s="1184"/>
      <c r="BS383" s="1184"/>
      <c r="BT383" s="1184"/>
      <c r="BU383" s="1184"/>
      <c r="BV383" s="1184"/>
      <c r="BW383" s="1184"/>
      <c r="BX383" s="1184"/>
      <c r="BY383" s="1184"/>
      <c r="BZ383" s="208"/>
      <c r="CA383" s="208"/>
      <c r="CB383" s="208"/>
      <c r="CC383" s="208"/>
      <c r="CD383" s="211"/>
    </row>
    <row r="384" ht="18" customHeight="1">
      <c r="A384" s="1284">
        <v>16</v>
      </c>
      <c r="B384" s="1233">
        <f t="shared" si="5467" ref="B384:Q399">$F$292</f>
        <v>0</v>
      </c>
      <c r="C384" s="1233">
        <f t="shared" si="5453"/>
        <v>0</v>
      </c>
      <c r="D384" s="1233">
        <f t="shared" si="5440"/>
        <v>0</v>
      </c>
      <c r="E384" s="1233">
        <f t="shared" si="5428"/>
        <v>0</v>
      </c>
      <c r="F384" s="1233">
        <f t="shared" si="5417"/>
        <v>0</v>
      </c>
      <c r="G384" s="1233">
        <f t="shared" si="5407"/>
        <v>0</v>
      </c>
      <c r="H384" s="1233">
        <f t="shared" si="5398"/>
        <v>0</v>
      </c>
      <c r="I384" s="1233">
        <f t="shared" si="5390"/>
        <v>0</v>
      </c>
      <c r="J384" s="1233">
        <f t="shared" si="5383"/>
        <v>0</v>
      </c>
      <c r="K384" s="1233">
        <f t="shared" si="5377"/>
        <v>0</v>
      </c>
      <c r="L384" s="1233">
        <f t="shared" si="5372"/>
        <v>0</v>
      </c>
      <c r="M384" s="1233">
        <f t="shared" si="5368"/>
        <v>0</v>
      </c>
      <c r="N384" s="1233">
        <f t="shared" si="5365"/>
        <v>0</v>
      </c>
      <c r="O384" s="1233">
        <f t="shared" si="5363"/>
        <v>0</v>
      </c>
      <c r="P384" s="1233">
        <f t="shared" si="5362"/>
        <v>0</v>
      </c>
      <c r="Q384" s="1221">
        <v>0</v>
      </c>
      <c r="R384" s="1221">
        <v>0</v>
      </c>
      <c r="S384" s="1221">
        <v>0</v>
      </c>
      <c r="T384" s="1221">
        <v>0</v>
      </c>
      <c r="U384" s="1221">
        <v>0</v>
      </c>
      <c r="V384" s="1221">
        <v>0</v>
      </c>
      <c r="W384" s="1221">
        <v>0</v>
      </c>
      <c r="X384" s="1221">
        <v>0</v>
      </c>
      <c r="Y384" s="1221">
        <v>0</v>
      </c>
      <c r="Z384" s="1221">
        <v>0</v>
      </c>
      <c r="AA384" s="1221">
        <v>0</v>
      </c>
      <c r="AB384" s="1221">
        <v>0</v>
      </c>
      <c r="AC384" s="1221">
        <v>0</v>
      </c>
      <c r="AD384" s="1221">
        <v>0</v>
      </c>
      <c r="AE384" s="1221">
        <v>0</v>
      </c>
      <c r="AF384" s="1221">
        <v>0</v>
      </c>
      <c r="AG384" s="1221">
        <v>0</v>
      </c>
      <c r="AH384" s="1221">
        <v>0</v>
      </c>
      <c r="AI384" s="1221">
        <v>0</v>
      </c>
      <c r="AJ384" s="1221">
        <v>0</v>
      </c>
      <c r="AK384" s="1221">
        <v>0</v>
      </c>
      <c r="AL384" s="1221">
        <v>0</v>
      </c>
      <c r="AM384" s="1221">
        <v>0</v>
      </c>
      <c r="AN384" s="1221">
        <v>0</v>
      </c>
      <c r="AO384" s="1221">
        <v>0</v>
      </c>
      <c r="AP384" s="1221">
        <v>0</v>
      </c>
      <c r="AQ384" s="1221">
        <v>0</v>
      </c>
      <c r="AR384" s="1221">
        <v>0</v>
      </c>
      <c r="AS384" s="1221">
        <v>0</v>
      </c>
      <c r="AT384" s="1221">
        <v>0</v>
      </c>
      <c r="AU384" s="1221">
        <v>0</v>
      </c>
      <c r="AV384" s="1221">
        <v>0</v>
      </c>
      <c r="AW384" s="1221">
        <v>0</v>
      </c>
      <c r="AX384" s="1221">
        <v>0</v>
      </c>
      <c r="AY384" s="1221">
        <v>0</v>
      </c>
      <c r="AZ384" s="1221">
        <v>0</v>
      </c>
      <c r="BA384" s="1221">
        <v>0</v>
      </c>
      <c r="BB384" s="1184"/>
      <c r="BC384" s="1184"/>
      <c r="BD384" s="1184"/>
      <c r="BE384" s="1184"/>
      <c r="BF384" s="1184"/>
      <c r="BG384" s="1184"/>
      <c r="BH384" s="1184"/>
      <c r="BI384" s="1184"/>
      <c r="BJ384" s="1184"/>
      <c r="BK384" s="1184"/>
      <c r="BL384" s="208"/>
      <c r="BM384" s="1184"/>
      <c r="BN384" s="1184"/>
      <c r="BO384" s="1184"/>
      <c r="BP384" s="1184"/>
      <c r="BQ384" s="1184"/>
      <c r="BR384" s="1184"/>
      <c r="BS384" s="1184"/>
      <c r="BT384" s="1184"/>
      <c r="BU384" s="1184"/>
      <c r="BV384" s="1184"/>
      <c r="BW384" s="1184"/>
      <c r="BX384" s="1184"/>
      <c r="BY384" s="1184"/>
      <c r="BZ384" s="208"/>
      <c r="CA384" s="208"/>
      <c r="CB384" s="208"/>
      <c r="CC384" s="208"/>
      <c r="CD384" s="211"/>
    </row>
    <row r="385" ht="18" customHeight="1">
      <c r="A385" s="1284">
        <v>17</v>
      </c>
      <c r="B385" s="1233">
        <f t="shared" si="5482" ref="B385:Q400">$F$293</f>
        <v>0</v>
      </c>
      <c r="C385" s="1233">
        <f t="shared" si="5467"/>
        <v>0</v>
      </c>
      <c r="D385" s="1233">
        <f t="shared" si="5453"/>
        <v>0</v>
      </c>
      <c r="E385" s="1233">
        <f t="shared" si="5440"/>
        <v>0</v>
      </c>
      <c r="F385" s="1233">
        <f t="shared" si="5428"/>
        <v>0</v>
      </c>
      <c r="G385" s="1233">
        <f t="shared" si="5417"/>
        <v>0</v>
      </c>
      <c r="H385" s="1233">
        <f t="shared" si="5407"/>
        <v>0</v>
      </c>
      <c r="I385" s="1233">
        <f t="shared" si="5398"/>
        <v>0</v>
      </c>
      <c r="J385" s="1233">
        <f t="shared" si="5390"/>
        <v>0</v>
      </c>
      <c r="K385" s="1233">
        <f t="shared" si="5383"/>
        <v>0</v>
      </c>
      <c r="L385" s="1233">
        <f t="shared" si="5377"/>
        <v>0</v>
      </c>
      <c r="M385" s="1233">
        <f t="shared" si="5372"/>
        <v>0</v>
      </c>
      <c r="N385" s="1233">
        <f t="shared" si="5368"/>
        <v>0</v>
      </c>
      <c r="O385" s="1233">
        <f t="shared" si="5365"/>
        <v>0</v>
      </c>
      <c r="P385" s="1233">
        <f t="shared" si="5363"/>
        <v>0</v>
      </c>
      <c r="Q385" s="1233">
        <f t="shared" si="5362"/>
        <v>0</v>
      </c>
      <c r="R385" s="1221">
        <v>0</v>
      </c>
      <c r="S385" s="1221">
        <v>0</v>
      </c>
      <c r="T385" s="1221">
        <v>0</v>
      </c>
      <c r="U385" s="1221">
        <v>0</v>
      </c>
      <c r="V385" s="1221">
        <v>0</v>
      </c>
      <c r="W385" s="1221">
        <v>0</v>
      </c>
      <c r="X385" s="1221">
        <v>0</v>
      </c>
      <c r="Y385" s="1221">
        <v>0</v>
      </c>
      <c r="Z385" s="1221">
        <v>0</v>
      </c>
      <c r="AA385" s="1221">
        <v>0</v>
      </c>
      <c r="AB385" s="1221">
        <v>0</v>
      </c>
      <c r="AC385" s="1221">
        <v>0</v>
      </c>
      <c r="AD385" s="1221">
        <v>0</v>
      </c>
      <c r="AE385" s="1221">
        <v>0</v>
      </c>
      <c r="AF385" s="1221">
        <v>0</v>
      </c>
      <c r="AG385" s="1221">
        <v>0</v>
      </c>
      <c r="AH385" s="1221">
        <v>0</v>
      </c>
      <c r="AI385" s="1221">
        <v>0</v>
      </c>
      <c r="AJ385" s="1221">
        <v>0</v>
      </c>
      <c r="AK385" s="1221">
        <v>0</v>
      </c>
      <c r="AL385" s="1221">
        <v>0</v>
      </c>
      <c r="AM385" s="1221">
        <v>0</v>
      </c>
      <c r="AN385" s="1221">
        <v>0</v>
      </c>
      <c r="AO385" s="1221">
        <v>0</v>
      </c>
      <c r="AP385" s="1221">
        <v>0</v>
      </c>
      <c r="AQ385" s="1221">
        <v>0</v>
      </c>
      <c r="AR385" s="1221">
        <v>0</v>
      </c>
      <c r="AS385" s="1221">
        <v>0</v>
      </c>
      <c r="AT385" s="1221">
        <v>0</v>
      </c>
      <c r="AU385" s="1221">
        <v>0</v>
      </c>
      <c r="AV385" s="1221">
        <v>0</v>
      </c>
      <c r="AW385" s="1221">
        <v>0</v>
      </c>
      <c r="AX385" s="1221">
        <v>0</v>
      </c>
      <c r="AY385" s="1221">
        <v>0</v>
      </c>
      <c r="AZ385" s="1221">
        <v>0</v>
      </c>
      <c r="BA385" s="1221">
        <v>0</v>
      </c>
      <c r="BB385" s="1184"/>
      <c r="BC385" s="1184"/>
      <c r="BD385" s="1184"/>
      <c r="BE385" s="1184"/>
      <c r="BF385" s="1184"/>
      <c r="BG385" s="1184"/>
      <c r="BH385" s="1184"/>
      <c r="BI385" s="1184"/>
      <c r="BJ385" s="1184"/>
      <c r="BK385" s="1184"/>
      <c r="BL385" s="208"/>
      <c r="BM385" s="1184"/>
      <c r="BN385" s="1184"/>
      <c r="BO385" s="1184"/>
      <c r="BP385" s="1184"/>
      <c r="BQ385" s="1184"/>
      <c r="BR385" s="1184"/>
      <c r="BS385" s="1184"/>
      <c r="BT385" s="1184"/>
      <c r="BU385" s="1184"/>
      <c r="BV385" s="1184"/>
      <c r="BW385" s="1184"/>
      <c r="BX385" s="1184"/>
      <c r="BY385" s="1184"/>
      <c r="BZ385" s="208"/>
      <c r="CA385" s="208"/>
      <c r="CB385" s="208"/>
      <c r="CC385" s="208"/>
      <c r="CD385" s="211"/>
    </row>
    <row r="386" ht="18" customHeight="1">
      <c r="A386" s="1284">
        <v>18</v>
      </c>
      <c r="B386" s="1233">
        <f t="shared" si="5498" ref="B386:Q401">$F$294</f>
        <v>0</v>
      </c>
      <c r="C386" s="1233">
        <f t="shared" si="5482"/>
        <v>0</v>
      </c>
      <c r="D386" s="1233">
        <f t="shared" si="5467"/>
        <v>0</v>
      </c>
      <c r="E386" s="1233">
        <f t="shared" si="5453"/>
        <v>0</v>
      </c>
      <c r="F386" s="1233">
        <f t="shared" si="5440"/>
        <v>0</v>
      </c>
      <c r="G386" s="1233">
        <f t="shared" si="5428"/>
        <v>0</v>
      </c>
      <c r="H386" s="1233">
        <f t="shared" si="5417"/>
        <v>0</v>
      </c>
      <c r="I386" s="1233">
        <f t="shared" si="5407"/>
        <v>0</v>
      </c>
      <c r="J386" s="1233">
        <f t="shared" si="5398"/>
        <v>0</v>
      </c>
      <c r="K386" s="1233">
        <f t="shared" si="5390"/>
        <v>0</v>
      </c>
      <c r="L386" s="1233">
        <f t="shared" si="5383"/>
        <v>0</v>
      </c>
      <c r="M386" s="1233">
        <f t="shared" si="5377"/>
        <v>0</v>
      </c>
      <c r="N386" s="1233">
        <f t="shared" si="5372"/>
        <v>0</v>
      </c>
      <c r="O386" s="1233">
        <f t="shared" si="5368"/>
        <v>0</v>
      </c>
      <c r="P386" s="1233">
        <f t="shared" si="5365"/>
        <v>0</v>
      </c>
      <c r="Q386" s="1233">
        <f t="shared" si="5363"/>
        <v>0</v>
      </c>
      <c r="R386" s="1233">
        <f t="shared" si="5514" ref="R386:AG401">$F$278</f>
        <v>0</v>
      </c>
      <c r="S386" s="1221">
        <v>0</v>
      </c>
      <c r="T386" s="1221">
        <v>0</v>
      </c>
      <c r="U386" s="1221">
        <v>0</v>
      </c>
      <c r="V386" s="1221">
        <v>0</v>
      </c>
      <c r="W386" s="1221">
        <v>0</v>
      </c>
      <c r="X386" s="1221">
        <v>0</v>
      </c>
      <c r="Y386" s="1221">
        <v>0</v>
      </c>
      <c r="Z386" s="1221">
        <v>0</v>
      </c>
      <c r="AA386" s="1221">
        <v>0</v>
      </c>
      <c r="AB386" s="1221">
        <v>0</v>
      </c>
      <c r="AC386" s="1221">
        <v>0</v>
      </c>
      <c r="AD386" s="1221">
        <v>0</v>
      </c>
      <c r="AE386" s="1221">
        <v>0</v>
      </c>
      <c r="AF386" s="1221">
        <v>0</v>
      </c>
      <c r="AG386" s="1221">
        <v>0</v>
      </c>
      <c r="AH386" s="1221">
        <v>0</v>
      </c>
      <c r="AI386" s="1221">
        <v>0</v>
      </c>
      <c r="AJ386" s="1221">
        <v>0</v>
      </c>
      <c r="AK386" s="1221">
        <v>0</v>
      </c>
      <c r="AL386" s="1221">
        <v>0</v>
      </c>
      <c r="AM386" s="1221">
        <v>0</v>
      </c>
      <c r="AN386" s="1221">
        <v>0</v>
      </c>
      <c r="AO386" s="1221">
        <v>0</v>
      </c>
      <c r="AP386" s="1221">
        <v>0</v>
      </c>
      <c r="AQ386" s="1221">
        <v>0</v>
      </c>
      <c r="AR386" s="1221">
        <v>0</v>
      </c>
      <c r="AS386" s="1221">
        <v>0</v>
      </c>
      <c r="AT386" s="1221">
        <v>0</v>
      </c>
      <c r="AU386" s="1221">
        <v>0</v>
      </c>
      <c r="AV386" s="1221">
        <v>0</v>
      </c>
      <c r="AW386" s="1221">
        <v>0</v>
      </c>
      <c r="AX386" s="1221">
        <v>0</v>
      </c>
      <c r="AY386" s="1221">
        <v>0</v>
      </c>
      <c r="AZ386" s="1221">
        <v>0</v>
      </c>
      <c r="BA386" s="1221">
        <v>0</v>
      </c>
      <c r="BB386" s="1184"/>
      <c r="BC386" s="1184"/>
      <c r="BD386" s="1184"/>
      <c r="BE386" s="1184"/>
      <c r="BF386" s="1184"/>
      <c r="BG386" s="1184"/>
      <c r="BH386" s="1184"/>
      <c r="BI386" s="1184"/>
      <c r="BJ386" s="1184"/>
      <c r="BK386" s="1184"/>
      <c r="BL386" s="208"/>
      <c r="BM386" s="1184"/>
      <c r="BN386" s="1184"/>
      <c r="BO386" s="1184"/>
      <c r="BP386" s="1184"/>
      <c r="BQ386" s="1184"/>
      <c r="BR386" s="1184"/>
      <c r="BS386" s="1184"/>
      <c r="BT386" s="1184"/>
      <c r="BU386" s="1184"/>
      <c r="BV386" s="1184"/>
      <c r="BW386" s="1184"/>
      <c r="BX386" s="1184"/>
      <c r="BY386" s="1184"/>
      <c r="BZ386" s="208"/>
      <c r="CA386" s="208"/>
      <c r="CB386" s="208"/>
      <c r="CC386" s="208"/>
      <c r="CD386" s="211"/>
    </row>
    <row r="387" ht="18" customHeight="1">
      <c r="A387" s="1284">
        <v>19</v>
      </c>
      <c r="B387" s="1233">
        <f t="shared" si="5515" ref="B387:Q402">$F$295</f>
        <v>0</v>
      </c>
      <c r="C387" s="1233">
        <f t="shared" si="5498"/>
        <v>0</v>
      </c>
      <c r="D387" s="1233">
        <f t="shared" si="5482"/>
        <v>0</v>
      </c>
      <c r="E387" s="1233">
        <f t="shared" si="5467"/>
        <v>0</v>
      </c>
      <c r="F387" s="1233">
        <f t="shared" si="5453"/>
        <v>0</v>
      </c>
      <c r="G387" s="1233">
        <f t="shared" si="5440"/>
        <v>0</v>
      </c>
      <c r="H387" s="1233">
        <f t="shared" si="5428"/>
        <v>0</v>
      </c>
      <c r="I387" s="1233">
        <f t="shared" si="5417"/>
        <v>0</v>
      </c>
      <c r="J387" s="1233">
        <f t="shared" si="5407"/>
        <v>0</v>
      </c>
      <c r="K387" s="1233">
        <f t="shared" si="5398"/>
        <v>0</v>
      </c>
      <c r="L387" s="1233">
        <f t="shared" si="5390"/>
        <v>0</v>
      </c>
      <c r="M387" s="1233">
        <f t="shared" si="5383"/>
        <v>0</v>
      </c>
      <c r="N387" s="1233">
        <f t="shared" si="5377"/>
        <v>0</v>
      </c>
      <c r="O387" s="1233">
        <f t="shared" si="5372"/>
        <v>0</v>
      </c>
      <c r="P387" s="1233">
        <f t="shared" si="5368"/>
        <v>0</v>
      </c>
      <c r="Q387" s="1233">
        <f t="shared" si="5365"/>
        <v>0</v>
      </c>
      <c r="R387" s="1233">
        <f t="shared" si="5531" ref="R387:AG402">$F$279</f>
        <v>0</v>
      </c>
      <c r="S387" s="1233">
        <f t="shared" si="5514"/>
        <v>0</v>
      </c>
      <c r="T387" s="1221">
        <v>0</v>
      </c>
      <c r="U387" s="1221">
        <v>0</v>
      </c>
      <c r="V387" s="1221">
        <v>0</v>
      </c>
      <c r="W387" s="1221">
        <v>0</v>
      </c>
      <c r="X387" s="1221">
        <v>0</v>
      </c>
      <c r="Y387" s="1221">
        <v>0</v>
      </c>
      <c r="Z387" s="1221">
        <v>0</v>
      </c>
      <c r="AA387" s="1221">
        <v>0</v>
      </c>
      <c r="AB387" s="1221">
        <v>0</v>
      </c>
      <c r="AC387" s="1221">
        <v>0</v>
      </c>
      <c r="AD387" s="1221">
        <v>0</v>
      </c>
      <c r="AE387" s="1221">
        <v>0</v>
      </c>
      <c r="AF387" s="1221">
        <v>0</v>
      </c>
      <c r="AG387" s="1221">
        <v>0</v>
      </c>
      <c r="AH387" s="1221">
        <v>0</v>
      </c>
      <c r="AI387" s="1221">
        <v>0</v>
      </c>
      <c r="AJ387" s="1221">
        <v>0</v>
      </c>
      <c r="AK387" s="1221">
        <v>0</v>
      </c>
      <c r="AL387" s="1221">
        <v>0</v>
      </c>
      <c r="AM387" s="1221">
        <v>0</v>
      </c>
      <c r="AN387" s="1221">
        <v>0</v>
      </c>
      <c r="AO387" s="1221">
        <v>0</v>
      </c>
      <c r="AP387" s="1221">
        <v>0</v>
      </c>
      <c r="AQ387" s="1221">
        <v>0</v>
      </c>
      <c r="AR387" s="1221">
        <v>0</v>
      </c>
      <c r="AS387" s="1221">
        <v>0</v>
      </c>
      <c r="AT387" s="1221">
        <v>0</v>
      </c>
      <c r="AU387" s="1221">
        <v>0</v>
      </c>
      <c r="AV387" s="1221">
        <v>0</v>
      </c>
      <c r="AW387" s="1221">
        <v>0</v>
      </c>
      <c r="AX387" s="1221">
        <v>0</v>
      </c>
      <c r="AY387" s="1221">
        <v>0</v>
      </c>
      <c r="AZ387" s="1221">
        <v>0</v>
      </c>
      <c r="BA387" s="1221">
        <v>0</v>
      </c>
      <c r="BB387" s="1184"/>
      <c r="BC387" s="1184"/>
      <c r="BD387" s="1184"/>
      <c r="BE387" s="1184"/>
      <c r="BF387" s="1184"/>
      <c r="BG387" s="1184"/>
      <c r="BH387" s="1184"/>
      <c r="BI387" s="1184"/>
      <c r="BJ387" s="1184"/>
      <c r="BK387" s="1184"/>
      <c r="BL387" s="208"/>
      <c r="BM387" s="1184"/>
      <c r="BN387" s="1184"/>
      <c r="BO387" s="1184"/>
      <c r="BP387" s="1184"/>
      <c r="BQ387" s="1184"/>
      <c r="BR387" s="1184"/>
      <c r="BS387" s="1184"/>
      <c r="BT387" s="1184"/>
      <c r="BU387" s="1184"/>
      <c r="BV387" s="1184"/>
      <c r="BW387" s="1184"/>
      <c r="BX387" s="1184"/>
      <c r="BY387" s="1184"/>
      <c r="BZ387" s="208"/>
      <c r="CA387" s="208"/>
      <c r="CB387" s="208"/>
      <c r="CC387" s="208"/>
      <c r="CD387" s="211"/>
    </row>
    <row r="388" ht="18" customHeight="1">
      <c r="A388" s="1284">
        <v>20</v>
      </c>
      <c r="B388" s="1233">
        <f t="shared" si="5533" ref="B388:Q403">$F$296</f>
        <v>0</v>
      </c>
      <c r="C388" s="1233">
        <f t="shared" si="5515"/>
        <v>0</v>
      </c>
      <c r="D388" s="1233">
        <f t="shared" si="5498"/>
        <v>0</v>
      </c>
      <c r="E388" s="1233">
        <f t="shared" si="5482"/>
        <v>0</v>
      </c>
      <c r="F388" s="1233">
        <f t="shared" si="5467"/>
        <v>0</v>
      </c>
      <c r="G388" s="1233">
        <f t="shared" si="5453"/>
        <v>0</v>
      </c>
      <c r="H388" s="1233">
        <f t="shared" si="5440"/>
        <v>0</v>
      </c>
      <c r="I388" s="1233">
        <f t="shared" si="5428"/>
        <v>0</v>
      </c>
      <c r="J388" s="1233">
        <f t="shared" si="5417"/>
        <v>0</v>
      </c>
      <c r="K388" s="1233">
        <f t="shared" si="5407"/>
        <v>0</v>
      </c>
      <c r="L388" s="1233">
        <f t="shared" si="5398"/>
        <v>0</v>
      </c>
      <c r="M388" s="1233">
        <f t="shared" si="5390"/>
        <v>0</v>
      </c>
      <c r="N388" s="1233">
        <f t="shared" si="5383"/>
        <v>0</v>
      </c>
      <c r="O388" s="1233">
        <f t="shared" si="5377"/>
        <v>0</v>
      </c>
      <c r="P388" s="1233">
        <f t="shared" si="5372"/>
        <v>0</v>
      </c>
      <c r="Q388" s="1233">
        <f t="shared" si="5368"/>
        <v>0</v>
      </c>
      <c r="R388" s="1233">
        <f t="shared" si="5549" ref="R388:AG403">$F$280</f>
        <v>0</v>
      </c>
      <c r="S388" s="1233">
        <f t="shared" si="5531"/>
        <v>0</v>
      </c>
      <c r="T388" s="1233">
        <f t="shared" si="5514"/>
        <v>0</v>
      </c>
      <c r="U388" s="1221">
        <v>0</v>
      </c>
      <c r="V388" s="1221">
        <v>0</v>
      </c>
      <c r="W388" s="1221">
        <v>0</v>
      </c>
      <c r="X388" s="1221">
        <v>0</v>
      </c>
      <c r="Y388" s="1221">
        <v>0</v>
      </c>
      <c r="Z388" s="1221">
        <v>0</v>
      </c>
      <c r="AA388" s="1221">
        <v>0</v>
      </c>
      <c r="AB388" s="1221">
        <v>0</v>
      </c>
      <c r="AC388" s="1221">
        <v>0</v>
      </c>
      <c r="AD388" s="1221">
        <v>0</v>
      </c>
      <c r="AE388" s="1221">
        <v>0</v>
      </c>
      <c r="AF388" s="1221">
        <v>0</v>
      </c>
      <c r="AG388" s="1221">
        <v>0</v>
      </c>
      <c r="AH388" s="1221">
        <v>0</v>
      </c>
      <c r="AI388" s="1221">
        <v>0</v>
      </c>
      <c r="AJ388" s="1221">
        <v>0</v>
      </c>
      <c r="AK388" s="1221">
        <v>0</v>
      </c>
      <c r="AL388" s="1221">
        <v>0</v>
      </c>
      <c r="AM388" s="1221">
        <v>0</v>
      </c>
      <c r="AN388" s="1221">
        <v>0</v>
      </c>
      <c r="AO388" s="1221">
        <v>0</v>
      </c>
      <c r="AP388" s="1221">
        <v>0</v>
      </c>
      <c r="AQ388" s="1221">
        <v>0</v>
      </c>
      <c r="AR388" s="1221">
        <v>0</v>
      </c>
      <c r="AS388" s="1221">
        <v>0</v>
      </c>
      <c r="AT388" s="1221">
        <v>0</v>
      </c>
      <c r="AU388" s="1221">
        <v>0</v>
      </c>
      <c r="AV388" s="1221">
        <v>0</v>
      </c>
      <c r="AW388" s="1221">
        <v>0</v>
      </c>
      <c r="AX388" s="1221">
        <v>0</v>
      </c>
      <c r="AY388" s="1221">
        <v>0</v>
      </c>
      <c r="AZ388" s="1221">
        <v>0</v>
      </c>
      <c r="BA388" s="1221">
        <v>0</v>
      </c>
      <c r="BB388" s="1184"/>
      <c r="BC388" s="1184"/>
      <c r="BD388" s="1184"/>
      <c r="BE388" s="1184"/>
      <c r="BF388" s="1184"/>
      <c r="BG388" s="1184"/>
      <c r="BH388" s="1184"/>
      <c r="BI388" s="1184"/>
      <c r="BJ388" s="1184"/>
      <c r="BK388" s="1184"/>
      <c r="BL388" s="208"/>
      <c r="BM388" s="1184"/>
      <c r="BN388" s="1184"/>
      <c r="BO388" s="1184"/>
      <c r="BP388" s="1184"/>
      <c r="BQ388" s="1184"/>
      <c r="BR388" s="1184"/>
      <c r="BS388" s="1184"/>
      <c r="BT388" s="1184"/>
      <c r="BU388" s="1184"/>
      <c r="BV388" s="1184"/>
      <c r="BW388" s="1184"/>
      <c r="BX388" s="1184"/>
      <c r="BY388" s="1184"/>
      <c r="BZ388" s="208"/>
      <c r="CA388" s="208"/>
      <c r="CB388" s="208"/>
      <c r="CC388" s="208"/>
      <c r="CD388" s="211"/>
    </row>
    <row r="389" ht="18" customHeight="1">
      <c r="A389" s="1284">
        <v>21</v>
      </c>
      <c r="B389" s="1233">
        <f t="shared" si="5552" ref="B389:Q404">$F$297</f>
        <v>0</v>
      </c>
      <c r="C389" s="1233">
        <f t="shared" si="5533"/>
        <v>0</v>
      </c>
      <c r="D389" s="1233">
        <f t="shared" si="5515"/>
        <v>0</v>
      </c>
      <c r="E389" s="1233">
        <f t="shared" si="5498"/>
        <v>0</v>
      </c>
      <c r="F389" s="1233">
        <f t="shared" si="5482"/>
        <v>0</v>
      </c>
      <c r="G389" s="1233">
        <f t="shared" si="5467"/>
        <v>0</v>
      </c>
      <c r="H389" s="1233">
        <f t="shared" si="5453"/>
        <v>0</v>
      </c>
      <c r="I389" s="1233">
        <f t="shared" si="5440"/>
        <v>0</v>
      </c>
      <c r="J389" s="1233">
        <f t="shared" si="5428"/>
        <v>0</v>
      </c>
      <c r="K389" s="1233">
        <f t="shared" si="5417"/>
        <v>0</v>
      </c>
      <c r="L389" s="1233">
        <f t="shared" si="5407"/>
        <v>0</v>
      </c>
      <c r="M389" s="1233">
        <f t="shared" si="5398"/>
        <v>0</v>
      </c>
      <c r="N389" s="1233">
        <f t="shared" si="5390"/>
        <v>0</v>
      </c>
      <c r="O389" s="1233">
        <f t="shared" si="5383"/>
        <v>0</v>
      </c>
      <c r="P389" s="1233">
        <f t="shared" si="5377"/>
        <v>0</v>
      </c>
      <c r="Q389" s="1233">
        <f t="shared" si="5372"/>
        <v>0</v>
      </c>
      <c r="R389" s="1233">
        <f t="shared" si="5568" ref="R389:AG404">$F$281</f>
        <v>0</v>
      </c>
      <c r="S389" s="1233">
        <f t="shared" si="5549"/>
        <v>0</v>
      </c>
      <c r="T389" s="1233">
        <f t="shared" si="5531"/>
        <v>0</v>
      </c>
      <c r="U389" s="1233">
        <f t="shared" si="5514"/>
        <v>0</v>
      </c>
      <c r="V389" s="1221">
        <v>0</v>
      </c>
      <c r="W389" s="1221">
        <v>0</v>
      </c>
      <c r="X389" s="1221">
        <v>0</v>
      </c>
      <c r="Y389" s="1221">
        <v>0</v>
      </c>
      <c r="Z389" s="1221">
        <v>0</v>
      </c>
      <c r="AA389" s="1221">
        <v>0</v>
      </c>
      <c r="AB389" s="1221">
        <v>0</v>
      </c>
      <c r="AC389" s="1221">
        <v>0</v>
      </c>
      <c r="AD389" s="1221">
        <v>0</v>
      </c>
      <c r="AE389" s="1221">
        <v>0</v>
      </c>
      <c r="AF389" s="1221">
        <v>0</v>
      </c>
      <c r="AG389" s="1221">
        <v>0</v>
      </c>
      <c r="AH389" s="1221">
        <v>0</v>
      </c>
      <c r="AI389" s="1221">
        <v>0</v>
      </c>
      <c r="AJ389" s="1221">
        <v>0</v>
      </c>
      <c r="AK389" s="1221">
        <v>0</v>
      </c>
      <c r="AL389" s="1221">
        <v>0</v>
      </c>
      <c r="AM389" s="1221">
        <v>0</v>
      </c>
      <c r="AN389" s="1221">
        <v>0</v>
      </c>
      <c r="AO389" s="1221">
        <v>0</v>
      </c>
      <c r="AP389" s="1221">
        <v>0</v>
      </c>
      <c r="AQ389" s="1221">
        <v>0</v>
      </c>
      <c r="AR389" s="1221">
        <v>0</v>
      </c>
      <c r="AS389" s="1221">
        <v>0</v>
      </c>
      <c r="AT389" s="1221">
        <v>0</v>
      </c>
      <c r="AU389" s="1221">
        <v>0</v>
      </c>
      <c r="AV389" s="1221">
        <v>0</v>
      </c>
      <c r="AW389" s="1221">
        <v>0</v>
      </c>
      <c r="AX389" s="1221">
        <v>0</v>
      </c>
      <c r="AY389" s="1221">
        <v>0</v>
      </c>
      <c r="AZ389" s="1221">
        <v>0</v>
      </c>
      <c r="BA389" s="1221">
        <v>0</v>
      </c>
      <c r="BB389" s="1184"/>
      <c r="BC389" s="1184"/>
      <c r="BD389" s="1184"/>
      <c r="BE389" s="1184"/>
      <c r="BF389" s="1184"/>
      <c r="BG389" s="1184"/>
      <c r="BH389" s="1184"/>
      <c r="BI389" s="1184"/>
      <c r="BJ389" s="1184"/>
      <c r="BK389" s="1184"/>
      <c r="BL389" s="208"/>
      <c r="BM389" s="1184"/>
      <c r="BN389" s="1184"/>
      <c r="BO389" s="1184"/>
      <c r="BP389" s="1184"/>
      <c r="BQ389" s="1184"/>
      <c r="BR389" s="1184"/>
      <c r="BS389" s="1184"/>
      <c r="BT389" s="1184"/>
      <c r="BU389" s="1184"/>
      <c r="BV389" s="1184"/>
      <c r="BW389" s="1184"/>
      <c r="BX389" s="1184"/>
      <c r="BY389" s="1184"/>
      <c r="BZ389" s="208"/>
      <c r="CA389" s="208"/>
      <c r="CB389" s="208"/>
      <c r="CC389" s="208"/>
      <c r="CD389" s="211"/>
    </row>
    <row r="390" ht="18" customHeight="1">
      <c r="A390" s="1284">
        <v>22</v>
      </c>
      <c r="B390" s="1233">
        <f t="shared" si="5572" ref="B390:Q405">$F$298</f>
        <v>0</v>
      </c>
      <c r="C390" s="1233">
        <f t="shared" si="5552"/>
        <v>0</v>
      </c>
      <c r="D390" s="1233">
        <f t="shared" si="5533"/>
        <v>0</v>
      </c>
      <c r="E390" s="1233">
        <f t="shared" si="5515"/>
        <v>0</v>
      </c>
      <c r="F390" s="1233">
        <f t="shared" si="5498"/>
        <v>0</v>
      </c>
      <c r="G390" s="1233">
        <f t="shared" si="5482"/>
        <v>0</v>
      </c>
      <c r="H390" s="1233">
        <f t="shared" si="5467"/>
        <v>0</v>
      </c>
      <c r="I390" s="1233">
        <f t="shared" si="5453"/>
        <v>0</v>
      </c>
      <c r="J390" s="1233">
        <f t="shared" si="5440"/>
        <v>0</v>
      </c>
      <c r="K390" s="1233">
        <f t="shared" si="5428"/>
        <v>0</v>
      </c>
      <c r="L390" s="1233">
        <f t="shared" si="5417"/>
        <v>0</v>
      </c>
      <c r="M390" s="1233">
        <f t="shared" si="5407"/>
        <v>0</v>
      </c>
      <c r="N390" s="1233">
        <f t="shared" si="5398"/>
        <v>0</v>
      </c>
      <c r="O390" s="1233">
        <f t="shared" si="5390"/>
        <v>0</v>
      </c>
      <c r="P390" s="1233">
        <f t="shared" si="5383"/>
        <v>0</v>
      </c>
      <c r="Q390" s="1233">
        <f t="shared" si="5377"/>
        <v>0</v>
      </c>
      <c r="R390" s="1233">
        <f t="shared" si="5588" ref="R390:AG405">$F$282</f>
        <v>0</v>
      </c>
      <c r="S390" s="1233">
        <f t="shared" si="5568"/>
        <v>0</v>
      </c>
      <c r="T390" s="1233">
        <f t="shared" si="5549"/>
        <v>0</v>
      </c>
      <c r="U390" s="1233">
        <f t="shared" si="5531"/>
        <v>0</v>
      </c>
      <c r="V390" s="1233">
        <f t="shared" si="5514"/>
        <v>0</v>
      </c>
      <c r="W390" s="1221">
        <v>0</v>
      </c>
      <c r="X390" s="1221">
        <v>0</v>
      </c>
      <c r="Y390" s="1221">
        <v>0</v>
      </c>
      <c r="Z390" s="1221">
        <v>0</v>
      </c>
      <c r="AA390" s="1221">
        <v>0</v>
      </c>
      <c r="AB390" s="1221">
        <v>0</v>
      </c>
      <c r="AC390" s="1221">
        <v>0</v>
      </c>
      <c r="AD390" s="1221">
        <v>0</v>
      </c>
      <c r="AE390" s="1221">
        <v>0</v>
      </c>
      <c r="AF390" s="1221">
        <v>0</v>
      </c>
      <c r="AG390" s="1221">
        <v>0</v>
      </c>
      <c r="AH390" s="1221">
        <v>0</v>
      </c>
      <c r="AI390" s="1221">
        <v>0</v>
      </c>
      <c r="AJ390" s="1221">
        <v>0</v>
      </c>
      <c r="AK390" s="1221">
        <v>0</v>
      </c>
      <c r="AL390" s="1221">
        <v>0</v>
      </c>
      <c r="AM390" s="1221">
        <v>0</v>
      </c>
      <c r="AN390" s="1221">
        <v>0</v>
      </c>
      <c r="AO390" s="1221">
        <v>0</v>
      </c>
      <c r="AP390" s="1221">
        <v>0</v>
      </c>
      <c r="AQ390" s="1221">
        <v>0</v>
      </c>
      <c r="AR390" s="1221">
        <v>0</v>
      </c>
      <c r="AS390" s="1221">
        <v>0</v>
      </c>
      <c r="AT390" s="1221">
        <v>0</v>
      </c>
      <c r="AU390" s="1221">
        <v>0</v>
      </c>
      <c r="AV390" s="1221">
        <v>0</v>
      </c>
      <c r="AW390" s="1221">
        <v>0</v>
      </c>
      <c r="AX390" s="1221">
        <v>0</v>
      </c>
      <c r="AY390" s="1221">
        <v>0</v>
      </c>
      <c r="AZ390" s="1221">
        <v>0</v>
      </c>
      <c r="BA390" s="1221">
        <v>0</v>
      </c>
      <c r="BB390" s="1184"/>
      <c r="BC390" s="1184"/>
      <c r="BD390" s="1184"/>
      <c r="BE390" s="1184"/>
      <c r="BF390" s="1184"/>
      <c r="BG390" s="1184"/>
      <c r="BH390" s="1184"/>
      <c r="BI390" s="1184"/>
      <c r="BJ390" s="1184"/>
      <c r="BK390" s="1184"/>
      <c r="BL390" s="208"/>
      <c r="BM390" s="1184"/>
      <c r="BN390" s="1184"/>
      <c r="BO390" s="1184"/>
      <c r="BP390" s="1184"/>
      <c r="BQ390" s="1184"/>
      <c r="BR390" s="1184"/>
      <c r="BS390" s="1184"/>
      <c r="BT390" s="1184"/>
      <c r="BU390" s="1184"/>
      <c r="BV390" s="1184"/>
      <c r="BW390" s="1184"/>
      <c r="BX390" s="1184"/>
      <c r="BY390" s="1184"/>
      <c r="BZ390" s="208"/>
      <c r="CA390" s="208"/>
      <c r="CB390" s="208"/>
      <c r="CC390" s="208"/>
      <c r="CD390" s="211"/>
    </row>
    <row r="391" ht="18" customHeight="1">
      <c r="A391" s="1284">
        <v>23</v>
      </c>
      <c r="B391" s="1233">
        <f t="shared" si="5593" ref="B391:Q406">$F$299</f>
        <v>0</v>
      </c>
      <c r="C391" s="1233">
        <f t="shared" si="5572"/>
        <v>0</v>
      </c>
      <c r="D391" s="1233">
        <f t="shared" si="5552"/>
        <v>0</v>
      </c>
      <c r="E391" s="1233">
        <f t="shared" si="5533"/>
        <v>0</v>
      </c>
      <c r="F391" s="1233">
        <f t="shared" si="5515"/>
        <v>0</v>
      </c>
      <c r="G391" s="1233">
        <f t="shared" si="5498"/>
        <v>0</v>
      </c>
      <c r="H391" s="1233">
        <f t="shared" si="5482"/>
        <v>0</v>
      </c>
      <c r="I391" s="1233">
        <f t="shared" si="5467"/>
        <v>0</v>
      </c>
      <c r="J391" s="1233">
        <f t="shared" si="5453"/>
        <v>0</v>
      </c>
      <c r="K391" s="1233">
        <f t="shared" si="5440"/>
        <v>0</v>
      </c>
      <c r="L391" s="1233">
        <f t="shared" si="5428"/>
        <v>0</v>
      </c>
      <c r="M391" s="1233">
        <f t="shared" si="5417"/>
        <v>0</v>
      </c>
      <c r="N391" s="1233">
        <f t="shared" si="5407"/>
        <v>0</v>
      </c>
      <c r="O391" s="1233">
        <f t="shared" si="5398"/>
        <v>0</v>
      </c>
      <c r="P391" s="1233">
        <f t="shared" si="5390"/>
        <v>0</v>
      </c>
      <c r="Q391" s="1233">
        <f t="shared" si="5383"/>
        <v>0</v>
      </c>
      <c r="R391" s="1233">
        <f t="shared" si="5609" ref="R391:AG406">$F$283</f>
        <v>0</v>
      </c>
      <c r="S391" s="1233">
        <f t="shared" si="5588"/>
        <v>0</v>
      </c>
      <c r="T391" s="1233">
        <f t="shared" si="5568"/>
        <v>0</v>
      </c>
      <c r="U391" s="1233">
        <f t="shared" si="5549"/>
        <v>0</v>
      </c>
      <c r="V391" s="1233">
        <f t="shared" si="5531"/>
        <v>0</v>
      </c>
      <c r="W391" s="1233">
        <f t="shared" si="5514"/>
        <v>0</v>
      </c>
      <c r="X391" s="1221">
        <v>0</v>
      </c>
      <c r="Y391" s="1221">
        <v>0</v>
      </c>
      <c r="Z391" s="1221">
        <v>0</v>
      </c>
      <c r="AA391" s="1221">
        <v>0</v>
      </c>
      <c r="AB391" s="1221">
        <v>0</v>
      </c>
      <c r="AC391" s="1221">
        <v>0</v>
      </c>
      <c r="AD391" s="1221">
        <v>0</v>
      </c>
      <c r="AE391" s="1221">
        <v>0</v>
      </c>
      <c r="AF391" s="1221">
        <v>0</v>
      </c>
      <c r="AG391" s="1221">
        <v>0</v>
      </c>
      <c r="AH391" s="1221">
        <v>0</v>
      </c>
      <c r="AI391" s="1221">
        <v>0</v>
      </c>
      <c r="AJ391" s="1221">
        <v>0</v>
      </c>
      <c r="AK391" s="1221">
        <v>0</v>
      </c>
      <c r="AL391" s="1221">
        <v>0</v>
      </c>
      <c r="AM391" s="1221">
        <v>0</v>
      </c>
      <c r="AN391" s="1221">
        <v>0</v>
      </c>
      <c r="AO391" s="1221">
        <v>0</v>
      </c>
      <c r="AP391" s="1221">
        <v>0</v>
      </c>
      <c r="AQ391" s="1221">
        <v>0</v>
      </c>
      <c r="AR391" s="1221">
        <v>0</v>
      </c>
      <c r="AS391" s="1221">
        <v>0</v>
      </c>
      <c r="AT391" s="1221">
        <v>0</v>
      </c>
      <c r="AU391" s="1221">
        <v>0</v>
      </c>
      <c r="AV391" s="1221">
        <v>0</v>
      </c>
      <c r="AW391" s="1221">
        <v>0</v>
      </c>
      <c r="AX391" s="1221">
        <v>0</v>
      </c>
      <c r="AY391" s="1221">
        <v>0</v>
      </c>
      <c r="AZ391" s="1221">
        <v>0</v>
      </c>
      <c r="BA391" s="1221">
        <v>0</v>
      </c>
      <c r="BB391" s="1184"/>
      <c r="BC391" s="1184"/>
      <c r="BD391" s="1184"/>
      <c r="BE391" s="1184"/>
      <c r="BF391" s="1184"/>
      <c r="BG391" s="1184"/>
      <c r="BH391" s="1184"/>
      <c r="BI391" s="1184"/>
      <c r="BJ391" s="1184"/>
      <c r="BK391" s="1184"/>
      <c r="BL391" s="208"/>
      <c r="BM391" s="1184"/>
      <c r="BN391" s="1184"/>
      <c r="BO391" s="1184"/>
      <c r="BP391" s="1184"/>
      <c r="BQ391" s="1184"/>
      <c r="BR391" s="1184"/>
      <c r="BS391" s="1184"/>
      <c r="BT391" s="1184"/>
      <c r="BU391" s="1184"/>
      <c r="BV391" s="1184"/>
      <c r="BW391" s="1184"/>
      <c r="BX391" s="1184"/>
      <c r="BY391" s="1184"/>
      <c r="BZ391" s="208"/>
      <c r="CA391" s="208"/>
      <c r="CB391" s="208"/>
      <c r="CC391" s="208"/>
      <c r="CD391" s="211"/>
    </row>
    <row r="392" ht="18" customHeight="1">
      <c r="A392" s="1284">
        <v>24</v>
      </c>
      <c r="B392" s="1233">
        <f t="shared" si="5615" ref="B392:Q407">$F$300</f>
        <v>0</v>
      </c>
      <c r="C392" s="1233">
        <f t="shared" si="5593"/>
        <v>0</v>
      </c>
      <c r="D392" s="1233">
        <f t="shared" si="5572"/>
        <v>0</v>
      </c>
      <c r="E392" s="1233">
        <f t="shared" si="5552"/>
        <v>0</v>
      </c>
      <c r="F392" s="1233">
        <f t="shared" si="5533"/>
        <v>0</v>
      </c>
      <c r="G392" s="1233">
        <f t="shared" si="5515"/>
        <v>0</v>
      </c>
      <c r="H392" s="1233">
        <f t="shared" si="5498"/>
        <v>0</v>
      </c>
      <c r="I392" s="1233">
        <f t="shared" si="5482"/>
        <v>0</v>
      </c>
      <c r="J392" s="1233">
        <f t="shared" si="5467"/>
        <v>0</v>
      </c>
      <c r="K392" s="1233">
        <f t="shared" si="5453"/>
        <v>0</v>
      </c>
      <c r="L392" s="1233">
        <f t="shared" si="5440"/>
        <v>0</v>
      </c>
      <c r="M392" s="1233">
        <f t="shared" si="5428"/>
        <v>0</v>
      </c>
      <c r="N392" s="1233">
        <f t="shared" si="5417"/>
        <v>0</v>
      </c>
      <c r="O392" s="1233">
        <f t="shared" si="5407"/>
        <v>0</v>
      </c>
      <c r="P392" s="1233">
        <f t="shared" si="5398"/>
        <v>0</v>
      </c>
      <c r="Q392" s="1233">
        <f t="shared" si="5390"/>
        <v>0</v>
      </c>
      <c r="R392" s="1233">
        <f t="shared" si="5631" ref="R392:AG407">$F$284</f>
        <v>0</v>
      </c>
      <c r="S392" s="1233">
        <f t="shared" si="5609"/>
        <v>0</v>
      </c>
      <c r="T392" s="1233">
        <f t="shared" si="5588"/>
        <v>0</v>
      </c>
      <c r="U392" s="1233">
        <f t="shared" si="5568"/>
        <v>0</v>
      </c>
      <c r="V392" s="1233">
        <f t="shared" si="5549"/>
        <v>0</v>
      </c>
      <c r="W392" s="1233">
        <f t="shared" si="5531"/>
        <v>0</v>
      </c>
      <c r="X392" s="1233">
        <f t="shared" si="5514"/>
        <v>0</v>
      </c>
      <c r="Y392" s="1221">
        <v>0</v>
      </c>
      <c r="Z392" s="1221">
        <v>0</v>
      </c>
      <c r="AA392" s="1221">
        <v>0</v>
      </c>
      <c r="AB392" s="1221">
        <v>0</v>
      </c>
      <c r="AC392" s="1221">
        <v>0</v>
      </c>
      <c r="AD392" s="1221">
        <v>0</v>
      </c>
      <c r="AE392" s="1221">
        <v>0</v>
      </c>
      <c r="AF392" s="1221">
        <v>0</v>
      </c>
      <c r="AG392" s="1221">
        <v>0</v>
      </c>
      <c r="AH392" s="1221">
        <v>0</v>
      </c>
      <c r="AI392" s="1221">
        <v>0</v>
      </c>
      <c r="AJ392" s="1221">
        <v>0</v>
      </c>
      <c r="AK392" s="1221">
        <v>0</v>
      </c>
      <c r="AL392" s="1221">
        <v>0</v>
      </c>
      <c r="AM392" s="1221">
        <v>0</v>
      </c>
      <c r="AN392" s="1221">
        <v>0</v>
      </c>
      <c r="AO392" s="1221">
        <v>0</v>
      </c>
      <c r="AP392" s="1221">
        <v>0</v>
      </c>
      <c r="AQ392" s="1221">
        <v>0</v>
      </c>
      <c r="AR392" s="1221">
        <v>0</v>
      </c>
      <c r="AS392" s="1221">
        <v>0</v>
      </c>
      <c r="AT392" s="1221">
        <v>0</v>
      </c>
      <c r="AU392" s="1221">
        <v>0</v>
      </c>
      <c r="AV392" s="1221">
        <v>0</v>
      </c>
      <c r="AW392" s="1221">
        <v>0</v>
      </c>
      <c r="AX392" s="1221">
        <v>0</v>
      </c>
      <c r="AY392" s="1221">
        <v>0</v>
      </c>
      <c r="AZ392" s="1221">
        <v>0</v>
      </c>
      <c r="BA392" s="1221">
        <v>0</v>
      </c>
      <c r="BB392" s="1184"/>
      <c r="BC392" s="1184"/>
      <c r="BD392" s="1184"/>
      <c r="BE392" s="1184"/>
      <c r="BF392" s="1184"/>
      <c r="BG392" s="1184"/>
      <c r="BH392" s="1184"/>
      <c r="BI392" s="1184"/>
      <c r="BJ392" s="1184"/>
      <c r="BK392" s="1184"/>
      <c r="BL392" s="208"/>
      <c r="BM392" s="1184"/>
      <c r="BN392" s="1184"/>
      <c r="BO392" s="1184"/>
      <c r="BP392" s="1184"/>
      <c r="BQ392" s="1184"/>
      <c r="BR392" s="1184"/>
      <c r="BS392" s="1184"/>
      <c r="BT392" s="1184"/>
      <c r="BU392" s="1184"/>
      <c r="BV392" s="1184"/>
      <c r="BW392" s="1184"/>
      <c r="BX392" s="1184"/>
      <c r="BY392" s="1184"/>
      <c r="BZ392" s="208"/>
      <c r="CA392" s="208"/>
      <c r="CB392" s="208"/>
      <c r="CC392" s="208"/>
      <c r="CD392" s="211"/>
    </row>
    <row r="393" ht="18" customHeight="1">
      <c r="A393" s="1284">
        <v>25</v>
      </c>
      <c r="B393" s="1233">
        <f t="shared" si="5638" ref="B393:Q408">$F$301</f>
        <v>0</v>
      </c>
      <c r="C393" s="1233">
        <f t="shared" si="5615"/>
        <v>0</v>
      </c>
      <c r="D393" s="1233">
        <f t="shared" si="5593"/>
        <v>0</v>
      </c>
      <c r="E393" s="1233">
        <f t="shared" si="5572"/>
        <v>0</v>
      </c>
      <c r="F393" s="1233">
        <f t="shared" si="5552"/>
        <v>0</v>
      </c>
      <c r="G393" s="1233">
        <f t="shared" si="5533"/>
        <v>0</v>
      </c>
      <c r="H393" s="1233">
        <f t="shared" si="5515"/>
        <v>0</v>
      </c>
      <c r="I393" s="1233">
        <f t="shared" si="5498"/>
        <v>0</v>
      </c>
      <c r="J393" s="1233">
        <f t="shared" si="5482"/>
        <v>0</v>
      </c>
      <c r="K393" s="1233">
        <f t="shared" si="5467"/>
        <v>0</v>
      </c>
      <c r="L393" s="1233">
        <f t="shared" si="5453"/>
        <v>0</v>
      </c>
      <c r="M393" s="1233">
        <f t="shared" si="5440"/>
        <v>0</v>
      </c>
      <c r="N393" s="1233">
        <f t="shared" si="5428"/>
        <v>0</v>
      </c>
      <c r="O393" s="1233">
        <f t="shared" si="5417"/>
        <v>0</v>
      </c>
      <c r="P393" s="1233">
        <f t="shared" si="5407"/>
        <v>0</v>
      </c>
      <c r="Q393" s="1233">
        <f t="shared" si="5398"/>
        <v>0</v>
      </c>
      <c r="R393" s="1233">
        <f t="shared" si="5654" ref="R393:AG408">$F$285</f>
        <v>0</v>
      </c>
      <c r="S393" s="1233">
        <f t="shared" si="5631"/>
        <v>0</v>
      </c>
      <c r="T393" s="1233">
        <f t="shared" si="5609"/>
        <v>0</v>
      </c>
      <c r="U393" s="1233">
        <f t="shared" si="5588"/>
        <v>0</v>
      </c>
      <c r="V393" s="1233">
        <f t="shared" si="5568"/>
        <v>0</v>
      </c>
      <c r="W393" s="1233">
        <f t="shared" si="5549"/>
        <v>0</v>
      </c>
      <c r="X393" s="1233">
        <f t="shared" si="5531"/>
        <v>0</v>
      </c>
      <c r="Y393" s="1233">
        <f t="shared" si="5514"/>
        <v>0</v>
      </c>
      <c r="Z393" s="1221">
        <v>0</v>
      </c>
      <c r="AA393" s="1221">
        <v>0</v>
      </c>
      <c r="AB393" s="1221">
        <v>0</v>
      </c>
      <c r="AC393" s="1221">
        <v>0</v>
      </c>
      <c r="AD393" s="1221">
        <v>0</v>
      </c>
      <c r="AE393" s="1221">
        <v>0</v>
      </c>
      <c r="AF393" s="1221">
        <v>0</v>
      </c>
      <c r="AG393" s="1221">
        <v>0</v>
      </c>
      <c r="AH393" s="1221">
        <v>0</v>
      </c>
      <c r="AI393" s="1221">
        <v>0</v>
      </c>
      <c r="AJ393" s="1221">
        <v>0</v>
      </c>
      <c r="AK393" s="1221">
        <v>0</v>
      </c>
      <c r="AL393" s="1221">
        <v>0</v>
      </c>
      <c r="AM393" s="1221">
        <v>0</v>
      </c>
      <c r="AN393" s="1221">
        <v>0</v>
      </c>
      <c r="AO393" s="1221">
        <v>0</v>
      </c>
      <c r="AP393" s="1221">
        <v>0</v>
      </c>
      <c r="AQ393" s="1221">
        <v>0</v>
      </c>
      <c r="AR393" s="1221">
        <v>0</v>
      </c>
      <c r="AS393" s="1221">
        <v>0</v>
      </c>
      <c r="AT393" s="1221">
        <v>0</v>
      </c>
      <c r="AU393" s="1221">
        <v>0</v>
      </c>
      <c r="AV393" s="1221">
        <v>0</v>
      </c>
      <c r="AW393" s="1221">
        <v>0</v>
      </c>
      <c r="AX393" s="1221">
        <v>0</v>
      </c>
      <c r="AY393" s="1221">
        <v>0</v>
      </c>
      <c r="AZ393" s="1221">
        <v>0</v>
      </c>
      <c r="BA393" s="1221">
        <v>0</v>
      </c>
      <c r="BB393" s="1184"/>
      <c r="BC393" s="1184"/>
      <c r="BD393" s="1184"/>
      <c r="BE393" s="1184"/>
      <c r="BF393" s="1184"/>
      <c r="BG393" s="1184"/>
      <c r="BH393" s="1184"/>
      <c r="BI393" s="1184"/>
      <c r="BJ393" s="1184"/>
      <c r="BK393" s="1184"/>
      <c r="BL393" s="208"/>
      <c r="BM393" s="1184"/>
      <c r="BN393" s="1184"/>
      <c r="BO393" s="1184"/>
      <c r="BP393" s="1184"/>
      <c r="BQ393" s="1184"/>
      <c r="BR393" s="1184"/>
      <c r="BS393" s="1184"/>
      <c r="BT393" s="1184"/>
      <c r="BU393" s="1184"/>
      <c r="BV393" s="1184"/>
      <c r="BW393" s="1184"/>
      <c r="BX393" s="1184"/>
      <c r="BY393" s="1184"/>
      <c r="BZ393" s="208"/>
      <c r="CA393" s="208"/>
      <c r="CB393" s="208"/>
      <c r="CC393" s="208"/>
      <c r="CD393" s="211"/>
    </row>
    <row r="394" ht="18" customHeight="1">
      <c r="A394" s="1284">
        <v>26</v>
      </c>
      <c r="B394" s="1233">
        <f t="shared" si="5662" ref="B394:Q409">$F$302</f>
        <v>0</v>
      </c>
      <c r="C394" s="1233">
        <f t="shared" si="5638"/>
        <v>0</v>
      </c>
      <c r="D394" s="1233">
        <f t="shared" si="5615"/>
        <v>0</v>
      </c>
      <c r="E394" s="1233">
        <f t="shared" si="5593"/>
        <v>0</v>
      </c>
      <c r="F394" s="1233">
        <f t="shared" si="5572"/>
        <v>0</v>
      </c>
      <c r="G394" s="1233">
        <f t="shared" si="5552"/>
        <v>0</v>
      </c>
      <c r="H394" s="1233">
        <f t="shared" si="5533"/>
        <v>0</v>
      </c>
      <c r="I394" s="1233">
        <f t="shared" si="5515"/>
        <v>0</v>
      </c>
      <c r="J394" s="1233">
        <f t="shared" si="5498"/>
        <v>0</v>
      </c>
      <c r="K394" s="1233">
        <f t="shared" si="5482"/>
        <v>0</v>
      </c>
      <c r="L394" s="1233">
        <f t="shared" si="5467"/>
        <v>0</v>
      </c>
      <c r="M394" s="1233">
        <f t="shared" si="5453"/>
        <v>0</v>
      </c>
      <c r="N394" s="1233">
        <f t="shared" si="5440"/>
        <v>0</v>
      </c>
      <c r="O394" s="1233">
        <f t="shared" si="5428"/>
        <v>0</v>
      </c>
      <c r="P394" s="1233">
        <f t="shared" si="5417"/>
        <v>0</v>
      </c>
      <c r="Q394" s="1233">
        <f t="shared" si="5407"/>
        <v>0</v>
      </c>
      <c r="R394" s="1233">
        <f t="shared" si="5678" ref="R394:AG409">$F$286</f>
        <v>0</v>
      </c>
      <c r="S394" s="1233">
        <f t="shared" si="5654"/>
        <v>0</v>
      </c>
      <c r="T394" s="1233">
        <f t="shared" si="5631"/>
        <v>0</v>
      </c>
      <c r="U394" s="1233">
        <f t="shared" si="5609"/>
        <v>0</v>
      </c>
      <c r="V394" s="1233">
        <f t="shared" si="5588"/>
        <v>0</v>
      </c>
      <c r="W394" s="1233">
        <f t="shared" si="5568"/>
        <v>0</v>
      </c>
      <c r="X394" s="1233">
        <f t="shared" si="5549"/>
        <v>0</v>
      </c>
      <c r="Y394" s="1233">
        <f t="shared" si="5531"/>
        <v>0</v>
      </c>
      <c r="Z394" s="1233">
        <f t="shared" si="5514"/>
        <v>0</v>
      </c>
      <c r="AA394" s="1221">
        <v>0</v>
      </c>
      <c r="AB394" s="1221">
        <v>0</v>
      </c>
      <c r="AC394" s="1221">
        <v>0</v>
      </c>
      <c r="AD394" s="1221">
        <v>0</v>
      </c>
      <c r="AE394" s="1221">
        <v>0</v>
      </c>
      <c r="AF394" s="1221">
        <v>0</v>
      </c>
      <c r="AG394" s="1221">
        <v>0</v>
      </c>
      <c r="AH394" s="1221">
        <v>0</v>
      </c>
      <c r="AI394" s="1221">
        <v>0</v>
      </c>
      <c r="AJ394" s="1221">
        <v>0</v>
      </c>
      <c r="AK394" s="1221">
        <v>0</v>
      </c>
      <c r="AL394" s="1221">
        <v>0</v>
      </c>
      <c r="AM394" s="1221">
        <v>0</v>
      </c>
      <c r="AN394" s="1221">
        <v>0</v>
      </c>
      <c r="AO394" s="1221">
        <v>0</v>
      </c>
      <c r="AP394" s="1221">
        <v>0</v>
      </c>
      <c r="AQ394" s="1221">
        <v>0</v>
      </c>
      <c r="AR394" s="1221">
        <v>0</v>
      </c>
      <c r="AS394" s="1221">
        <v>0</v>
      </c>
      <c r="AT394" s="1221">
        <v>0</v>
      </c>
      <c r="AU394" s="1221">
        <v>0</v>
      </c>
      <c r="AV394" s="1221">
        <v>0</v>
      </c>
      <c r="AW394" s="1221">
        <v>0</v>
      </c>
      <c r="AX394" s="1221">
        <v>0</v>
      </c>
      <c r="AY394" s="1221">
        <v>0</v>
      </c>
      <c r="AZ394" s="1221">
        <v>0</v>
      </c>
      <c r="BA394" s="1221">
        <v>0</v>
      </c>
      <c r="BB394" s="1184"/>
      <c r="BC394" s="1184"/>
      <c r="BD394" s="1184"/>
      <c r="BE394" s="1184"/>
      <c r="BF394" s="1184"/>
      <c r="BG394" s="1184"/>
      <c r="BH394" s="1184"/>
      <c r="BI394" s="1184"/>
      <c r="BJ394" s="1184"/>
      <c r="BK394" s="1184"/>
      <c r="BL394" s="208"/>
      <c r="BM394" s="1184"/>
      <c r="BN394" s="1184"/>
      <c r="BO394" s="1184"/>
      <c r="BP394" s="1184"/>
      <c r="BQ394" s="1184"/>
      <c r="BR394" s="1184"/>
      <c r="BS394" s="1184"/>
      <c r="BT394" s="1184"/>
      <c r="BU394" s="1184"/>
      <c r="BV394" s="1184"/>
      <c r="BW394" s="1184"/>
      <c r="BX394" s="1184"/>
      <c r="BY394" s="1184"/>
      <c r="BZ394" s="208"/>
      <c r="CA394" s="208"/>
      <c r="CB394" s="208"/>
      <c r="CC394" s="208"/>
      <c r="CD394" s="211"/>
    </row>
    <row r="395" ht="18" customHeight="1">
      <c r="A395" s="1284">
        <v>27</v>
      </c>
      <c r="B395" s="1233">
        <f t="shared" si="5687" ref="B395:Q410">$F$303</f>
        <v>0</v>
      </c>
      <c r="C395" s="1233">
        <f t="shared" si="5662"/>
        <v>0</v>
      </c>
      <c r="D395" s="1233">
        <f t="shared" si="5638"/>
        <v>0</v>
      </c>
      <c r="E395" s="1233">
        <f t="shared" si="5615"/>
        <v>0</v>
      </c>
      <c r="F395" s="1233">
        <f t="shared" si="5593"/>
        <v>0</v>
      </c>
      <c r="G395" s="1233">
        <f t="shared" si="5572"/>
        <v>0</v>
      </c>
      <c r="H395" s="1233">
        <f t="shared" si="5552"/>
        <v>0</v>
      </c>
      <c r="I395" s="1233">
        <f t="shared" si="5533"/>
        <v>0</v>
      </c>
      <c r="J395" s="1233">
        <f t="shared" si="5515"/>
        <v>0</v>
      </c>
      <c r="K395" s="1233">
        <f t="shared" si="5498"/>
        <v>0</v>
      </c>
      <c r="L395" s="1233">
        <f t="shared" si="5482"/>
        <v>0</v>
      </c>
      <c r="M395" s="1233">
        <f t="shared" si="5467"/>
        <v>0</v>
      </c>
      <c r="N395" s="1233">
        <f t="shared" si="5453"/>
        <v>0</v>
      </c>
      <c r="O395" s="1233">
        <f t="shared" si="5440"/>
        <v>0</v>
      </c>
      <c r="P395" s="1233">
        <f t="shared" si="5428"/>
        <v>0</v>
      </c>
      <c r="Q395" s="1233">
        <f t="shared" si="5417"/>
        <v>0</v>
      </c>
      <c r="R395" s="1233">
        <f t="shared" si="5703" ref="R395:AG410">$F$287</f>
        <v>0</v>
      </c>
      <c r="S395" s="1233">
        <f t="shared" si="5678"/>
        <v>0</v>
      </c>
      <c r="T395" s="1233">
        <f t="shared" si="5654"/>
        <v>0</v>
      </c>
      <c r="U395" s="1233">
        <f t="shared" si="5631"/>
        <v>0</v>
      </c>
      <c r="V395" s="1233">
        <f t="shared" si="5609"/>
        <v>0</v>
      </c>
      <c r="W395" s="1233">
        <f t="shared" si="5588"/>
        <v>0</v>
      </c>
      <c r="X395" s="1233">
        <f t="shared" si="5568"/>
        <v>0</v>
      </c>
      <c r="Y395" s="1233">
        <f t="shared" si="5549"/>
        <v>0</v>
      </c>
      <c r="Z395" s="1233">
        <f t="shared" si="5531"/>
        <v>0</v>
      </c>
      <c r="AA395" s="1233">
        <f t="shared" si="5514"/>
        <v>0</v>
      </c>
      <c r="AB395" s="1221">
        <v>0</v>
      </c>
      <c r="AC395" s="1221">
        <v>0</v>
      </c>
      <c r="AD395" s="1221">
        <v>0</v>
      </c>
      <c r="AE395" s="1221">
        <v>0</v>
      </c>
      <c r="AF395" s="1221">
        <v>0</v>
      </c>
      <c r="AG395" s="1221">
        <v>0</v>
      </c>
      <c r="AH395" s="1221">
        <v>0</v>
      </c>
      <c r="AI395" s="1221">
        <v>0</v>
      </c>
      <c r="AJ395" s="1221">
        <v>0</v>
      </c>
      <c r="AK395" s="1221">
        <v>0</v>
      </c>
      <c r="AL395" s="1221">
        <v>0</v>
      </c>
      <c r="AM395" s="1221">
        <v>0</v>
      </c>
      <c r="AN395" s="1221">
        <v>0</v>
      </c>
      <c r="AO395" s="1221">
        <v>0</v>
      </c>
      <c r="AP395" s="1221">
        <v>0</v>
      </c>
      <c r="AQ395" s="1221">
        <v>0</v>
      </c>
      <c r="AR395" s="1221">
        <v>0</v>
      </c>
      <c r="AS395" s="1221">
        <v>0</v>
      </c>
      <c r="AT395" s="1221">
        <v>0</v>
      </c>
      <c r="AU395" s="1221">
        <v>0</v>
      </c>
      <c r="AV395" s="1221">
        <v>0</v>
      </c>
      <c r="AW395" s="1221">
        <v>0</v>
      </c>
      <c r="AX395" s="1221">
        <v>0</v>
      </c>
      <c r="AY395" s="1221">
        <v>0</v>
      </c>
      <c r="AZ395" s="1221">
        <v>0</v>
      </c>
      <c r="BA395" s="1221">
        <v>0</v>
      </c>
      <c r="BB395" s="1184"/>
      <c r="BC395" s="1184"/>
      <c r="BD395" s="1184"/>
      <c r="BE395" s="1184"/>
      <c r="BF395" s="1184"/>
      <c r="BG395" s="1184"/>
      <c r="BH395" s="1184"/>
      <c r="BI395" s="1184"/>
      <c r="BJ395" s="1184"/>
      <c r="BK395" s="1184"/>
      <c r="BL395" s="208"/>
      <c r="BM395" s="1184"/>
      <c r="BN395" s="1184"/>
      <c r="BO395" s="1184"/>
      <c r="BP395" s="1184"/>
      <c r="BQ395" s="1184"/>
      <c r="BR395" s="1184"/>
      <c r="BS395" s="1184"/>
      <c r="BT395" s="1184"/>
      <c r="BU395" s="1184"/>
      <c r="BV395" s="1184"/>
      <c r="BW395" s="1184"/>
      <c r="BX395" s="1184"/>
      <c r="BY395" s="1184"/>
      <c r="BZ395" s="208"/>
      <c r="CA395" s="208"/>
      <c r="CB395" s="208"/>
      <c r="CC395" s="208"/>
      <c r="CD395" s="211"/>
    </row>
    <row r="396" ht="18" customHeight="1">
      <c r="A396" s="1284">
        <v>28</v>
      </c>
      <c r="B396" s="1233">
        <f t="shared" si="5713" ref="B396:Q411">$F$304</f>
        <v>0</v>
      </c>
      <c r="C396" s="1233">
        <f t="shared" si="5687"/>
        <v>0</v>
      </c>
      <c r="D396" s="1233">
        <f t="shared" si="5662"/>
        <v>0</v>
      </c>
      <c r="E396" s="1233">
        <f t="shared" si="5638"/>
        <v>0</v>
      </c>
      <c r="F396" s="1233">
        <f t="shared" si="5615"/>
        <v>0</v>
      </c>
      <c r="G396" s="1233">
        <f t="shared" si="5593"/>
        <v>0</v>
      </c>
      <c r="H396" s="1233">
        <f t="shared" si="5572"/>
        <v>0</v>
      </c>
      <c r="I396" s="1233">
        <f t="shared" si="5552"/>
        <v>0</v>
      </c>
      <c r="J396" s="1233">
        <f t="shared" si="5533"/>
        <v>0</v>
      </c>
      <c r="K396" s="1233">
        <f t="shared" si="5515"/>
        <v>0</v>
      </c>
      <c r="L396" s="1233">
        <f t="shared" si="5498"/>
        <v>0</v>
      </c>
      <c r="M396" s="1233">
        <f t="shared" si="5482"/>
        <v>0</v>
      </c>
      <c r="N396" s="1233">
        <f t="shared" si="5467"/>
        <v>0</v>
      </c>
      <c r="O396" s="1233">
        <f t="shared" si="5453"/>
        <v>0</v>
      </c>
      <c r="P396" s="1233">
        <f t="shared" si="5440"/>
        <v>0</v>
      </c>
      <c r="Q396" s="1233">
        <f t="shared" si="5428"/>
        <v>0</v>
      </c>
      <c r="R396" s="1233">
        <f t="shared" si="5729" ref="R396:AG411">$F$288</f>
        <v>0</v>
      </c>
      <c r="S396" s="1233">
        <f t="shared" si="5703"/>
        <v>0</v>
      </c>
      <c r="T396" s="1233">
        <f t="shared" si="5678"/>
        <v>0</v>
      </c>
      <c r="U396" s="1233">
        <f t="shared" si="5654"/>
        <v>0</v>
      </c>
      <c r="V396" s="1233">
        <f t="shared" si="5631"/>
        <v>0</v>
      </c>
      <c r="W396" s="1233">
        <f t="shared" si="5609"/>
        <v>0</v>
      </c>
      <c r="X396" s="1233">
        <f t="shared" si="5588"/>
        <v>0</v>
      </c>
      <c r="Y396" s="1233">
        <f t="shared" si="5568"/>
        <v>0</v>
      </c>
      <c r="Z396" s="1233">
        <f t="shared" si="5549"/>
        <v>0</v>
      </c>
      <c r="AA396" s="1233">
        <f t="shared" si="5531"/>
        <v>0</v>
      </c>
      <c r="AB396" s="1233">
        <f t="shared" si="5514"/>
        <v>0</v>
      </c>
      <c r="AC396" s="1221">
        <v>0</v>
      </c>
      <c r="AD396" s="1221">
        <v>0</v>
      </c>
      <c r="AE396" s="1221">
        <v>0</v>
      </c>
      <c r="AF396" s="1221">
        <v>0</v>
      </c>
      <c r="AG396" s="1221">
        <v>0</v>
      </c>
      <c r="AH396" s="1221">
        <v>0</v>
      </c>
      <c r="AI396" s="1221">
        <v>0</v>
      </c>
      <c r="AJ396" s="1221">
        <v>0</v>
      </c>
      <c r="AK396" s="1221">
        <v>0</v>
      </c>
      <c r="AL396" s="1221">
        <v>0</v>
      </c>
      <c r="AM396" s="1221">
        <v>0</v>
      </c>
      <c r="AN396" s="1221">
        <v>0</v>
      </c>
      <c r="AO396" s="1221">
        <v>0</v>
      </c>
      <c r="AP396" s="1221">
        <v>0</v>
      </c>
      <c r="AQ396" s="1221">
        <v>0</v>
      </c>
      <c r="AR396" s="1221">
        <v>0</v>
      </c>
      <c r="AS396" s="1221">
        <v>0</v>
      </c>
      <c r="AT396" s="1221">
        <v>0</v>
      </c>
      <c r="AU396" s="1221">
        <v>0</v>
      </c>
      <c r="AV396" s="1221">
        <v>0</v>
      </c>
      <c r="AW396" s="1221">
        <v>0</v>
      </c>
      <c r="AX396" s="1221">
        <v>0</v>
      </c>
      <c r="AY396" s="1221">
        <v>0</v>
      </c>
      <c r="AZ396" s="1221">
        <v>0</v>
      </c>
      <c r="BA396" s="1221">
        <v>0</v>
      </c>
      <c r="BB396" s="1184"/>
      <c r="BC396" s="1184"/>
      <c r="BD396" s="1184"/>
      <c r="BE396" s="1184"/>
      <c r="BF396" s="1184"/>
      <c r="BG396" s="1184"/>
      <c r="BH396" s="1184"/>
      <c r="BI396" s="1184"/>
      <c r="BJ396" s="1184"/>
      <c r="BK396" s="1184"/>
      <c r="BL396" s="208"/>
      <c r="BM396" s="1184"/>
      <c r="BN396" s="1184"/>
      <c r="BO396" s="1184"/>
      <c r="BP396" s="1184"/>
      <c r="BQ396" s="1184"/>
      <c r="BR396" s="1184"/>
      <c r="BS396" s="1184"/>
      <c r="BT396" s="1184"/>
      <c r="BU396" s="1184"/>
      <c r="BV396" s="1184"/>
      <c r="BW396" s="1184"/>
      <c r="BX396" s="1184"/>
      <c r="BY396" s="1184"/>
      <c r="BZ396" s="208"/>
      <c r="CA396" s="208"/>
      <c r="CB396" s="208"/>
      <c r="CC396" s="208"/>
      <c r="CD396" s="211"/>
    </row>
    <row r="397" ht="18" customHeight="1">
      <c r="A397" s="1284">
        <v>29</v>
      </c>
      <c r="B397" s="1233">
        <f t="shared" si="5740" ref="B397:Q412">$F$305</f>
        <v>0</v>
      </c>
      <c r="C397" s="1233">
        <f t="shared" si="5713"/>
        <v>0</v>
      </c>
      <c r="D397" s="1233">
        <f t="shared" si="5687"/>
        <v>0</v>
      </c>
      <c r="E397" s="1233">
        <f t="shared" si="5662"/>
        <v>0</v>
      </c>
      <c r="F397" s="1233">
        <f t="shared" si="5638"/>
        <v>0</v>
      </c>
      <c r="G397" s="1233">
        <f t="shared" si="5615"/>
        <v>0</v>
      </c>
      <c r="H397" s="1233">
        <f t="shared" si="5593"/>
        <v>0</v>
      </c>
      <c r="I397" s="1233">
        <f t="shared" si="5572"/>
        <v>0</v>
      </c>
      <c r="J397" s="1233">
        <f t="shared" si="5552"/>
        <v>0</v>
      </c>
      <c r="K397" s="1233">
        <f t="shared" si="5533"/>
        <v>0</v>
      </c>
      <c r="L397" s="1233">
        <f t="shared" si="5515"/>
        <v>0</v>
      </c>
      <c r="M397" s="1233">
        <f t="shared" si="5498"/>
        <v>0</v>
      </c>
      <c r="N397" s="1233">
        <f t="shared" si="5482"/>
        <v>0</v>
      </c>
      <c r="O397" s="1233">
        <f t="shared" si="5467"/>
        <v>0</v>
      </c>
      <c r="P397" s="1233">
        <f t="shared" si="5453"/>
        <v>0</v>
      </c>
      <c r="Q397" s="1233">
        <f t="shared" si="5440"/>
        <v>0</v>
      </c>
      <c r="R397" s="1233">
        <f t="shared" si="5756" ref="R397:AG412">$F$289</f>
        <v>0</v>
      </c>
      <c r="S397" s="1233">
        <f t="shared" si="5729"/>
        <v>0</v>
      </c>
      <c r="T397" s="1233">
        <f t="shared" si="5703"/>
        <v>0</v>
      </c>
      <c r="U397" s="1233">
        <f t="shared" si="5678"/>
        <v>0</v>
      </c>
      <c r="V397" s="1233">
        <f t="shared" si="5654"/>
        <v>0</v>
      </c>
      <c r="W397" s="1233">
        <f t="shared" si="5631"/>
        <v>0</v>
      </c>
      <c r="X397" s="1233">
        <f t="shared" si="5609"/>
        <v>0</v>
      </c>
      <c r="Y397" s="1233">
        <f t="shared" si="5588"/>
        <v>0</v>
      </c>
      <c r="Z397" s="1233">
        <f t="shared" si="5568"/>
        <v>0</v>
      </c>
      <c r="AA397" s="1233">
        <f t="shared" si="5549"/>
        <v>0</v>
      </c>
      <c r="AB397" s="1233">
        <f t="shared" si="5531"/>
        <v>0</v>
      </c>
      <c r="AC397" s="1233">
        <f t="shared" si="5514"/>
        <v>0</v>
      </c>
      <c r="AD397" s="1221">
        <v>0</v>
      </c>
      <c r="AE397" s="1221">
        <v>0</v>
      </c>
      <c r="AF397" s="1221">
        <v>0</v>
      </c>
      <c r="AG397" s="1221">
        <v>0</v>
      </c>
      <c r="AH397" s="1221">
        <v>0</v>
      </c>
      <c r="AI397" s="1221">
        <v>0</v>
      </c>
      <c r="AJ397" s="1221">
        <v>0</v>
      </c>
      <c r="AK397" s="1221">
        <v>0</v>
      </c>
      <c r="AL397" s="1221">
        <v>0</v>
      </c>
      <c r="AM397" s="1221">
        <v>0</v>
      </c>
      <c r="AN397" s="1221">
        <v>0</v>
      </c>
      <c r="AO397" s="1221">
        <v>0</v>
      </c>
      <c r="AP397" s="1221">
        <v>0</v>
      </c>
      <c r="AQ397" s="1221">
        <v>0</v>
      </c>
      <c r="AR397" s="1221">
        <v>0</v>
      </c>
      <c r="AS397" s="1221">
        <v>0</v>
      </c>
      <c r="AT397" s="1221">
        <v>0</v>
      </c>
      <c r="AU397" s="1221">
        <v>0</v>
      </c>
      <c r="AV397" s="1221">
        <v>0</v>
      </c>
      <c r="AW397" s="1221">
        <v>0</v>
      </c>
      <c r="AX397" s="1221">
        <v>0</v>
      </c>
      <c r="AY397" s="1221">
        <v>0</v>
      </c>
      <c r="AZ397" s="1221">
        <v>0</v>
      </c>
      <c r="BA397" s="1221">
        <v>0</v>
      </c>
      <c r="BB397" s="1184"/>
      <c r="BC397" s="1184"/>
      <c r="BD397" s="1184"/>
      <c r="BE397" s="1184"/>
      <c r="BF397" s="1184"/>
      <c r="BG397" s="1184"/>
      <c r="BH397" s="1184"/>
      <c r="BI397" s="1184"/>
      <c r="BJ397" s="1184"/>
      <c r="BK397" s="1184"/>
      <c r="BL397" s="208"/>
      <c r="BM397" s="1184"/>
      <c r="BN397" s="1184"/>
      <c r="BO397" s="1184"/>
      <c r="BP397" s="1184"/>
      <c r="BQ397" s="1184"/>
      <c r="BR397" s="1184"/>
      <c r="BS397" s="1184"/>
      <c r="BT397" s="1184"/>
      <c r="BU397" s="1184"/>
      <c r="BV397" s="1184"/>
      <c r="BW397" s="1184"/>
      <c r="BX397" s="1184"/>
      <c r="BY397" s="1184"/>
      <c r="BZ397" s="208"/>
      <c r="CA397" s="208"/>
      <c r="CB397" s="208"/>
      <c r="CC397" s="208"/>
      <c r="CD397" s="211"/>
    </row>
    <row r="398" ht="18" customHeight="1">
      <c r="A398" s="1285">
        <v>40279</v>
      </c>
      <c r="B398" s="1233">
        <f t="shared" si="5768" ref="B398:Q413">$F$306</f>
        <v>0</v>
      </c>
      <c r="C398" s="1233">
        <f t="shared" si="5740"/>
        <v>0</v>
      </c>
      <c r="D398" s="1233">
        <f t="shared" si="5713"/>
        <v>0</v>
      </c>
      <c r="E398" s="1233">
        <f t="shared" si="5687"/>
        <v>0</v>
      </c>
      <c r="F398" s="1233">
        <f t="shared" si="5662"/>
        <v>0</v>
      </c>
      <c r="G398" s="1233">
        <f t="shared" si="5638"/>
        <v>0</v>
      </c>
      <c r="H398" s="1233">
        <f t="shared" si="5615"/>
        <v>0</v>
      </c>
      <c r="I398" s="1233">
        <f t="shared" si="5593"/>
        <v>0</v>
      </c>
      <c r="J398" s="1233">
        <f t="shared" si="5572"/>
        <v>0</v>
      </c>
      <c r="K398" s="1233">
        <f t="shared" si="5552"/>
        <v>0</v>
      </c>
      <c r="L398" s="1233">
        <f t="shared" si="5533"/>
        <v>0</v>
      </c>
      <c r="M398" s="1233">
        <f t="shared" si="5515"/>
        <v>0</v>
      </c>
      <c r="N398" s="1233">
        <f t="shared" si="5498"/>
        <v>0</v>
      </c>
      <c r="O398" s="1233">
        <f t="shared" si="5482"/>
        <v>0</v>
      </c>
      <c r="P398" s="1233">
        <f t="shared" si="5467"/>
        <v>0</v>
      </c>
      <c r="Q398" s="1233">
        <f t="shared" si="5453"/>
        <v>0</v>
      </c>
      <c r="R398" s="1233">
        <f t="shared" si="5784" ref="R398:AG413">$F$290</f>
        <v>0</v>
      </c>
      <c r="S398" s="1233">
        <f t="shared" si="5756"/>
        <v>0</v>
      </c>
      <c r="T398" s="1233">
        <f t="shared" si="5729"/>
        <v>0</v>
      </c>
      <c r="U398" s="1233">
        <f t="shared" si="5703"/>
        <v>0</v>
      </c>
      <c r="V398" s="1233">
        <f t="shared" si="5678"/>
        <v>0</v>
      </c>
      <c r="W398" s="1233">
        <f t="shared" si="5654"/>
        <v>0</v>
      </c>
      <c r="X398" s="1233">
        <f t="shared" si="5631"/>
        <v>0</v>
      </c>
      <c r="Y398" s="1233">
        <f t="shared" si="5609"/>
        <v>0</v>
      </c>
      <c r="Z398" s="1233">
        <f t="shared" si="5588"/>
        <v>0</v>
      </c>
      <c r="AA398" s="1233">
        <f t="shared" si="5568"/>
        <v>0</v>
      </c>
      <c r="AB398" s="1233">
        <f t="shared" si="5549"/>
        <v>0</v>
      </c>
      <c r="AC398" s="1233">
        <f t="shared" si="5531"/>
        <v>0</v>
      </c>
      <c r="AD398" s="1233">
        <f t="shared" si="5514"/>
        <v>0</v>
      </c>
      <c r="AE398" s="1221">
        <v>0</v>
      </c>
      <c r="AF398" s="1221">
        <v>0</v>
      </c>
      <c r="AG398" s="1221">
        <v>0</v>
      </c>
      <c r="AH398" s="1221">
        <v>0</v>
      </c>
      <c r="AI398" s="1221">
        <v>0</v>
      </c>
      <c r="AJ398" s="1221">
        <v>0</v>
      </c>
      <c r="AK398" s="1221">
        <v>0</v>
      </c>
      <c r="AL398" s="1221">
        <v>0</v>
      </c>
      <c r="AM398" s="1221">
        <v>0</v>
      </c>
      <c r="AN398" s="1221">
        <v>0</v>
      </c>
      <c r="AO398" s="1221">
        <v>0</v>
      </c>
      <c r="AP398" s="1221">
        <v>0</v>
      </c>
      <c r="AQ398" s="1221">
        <v>0</v>
      </c>
      <c r="AR398" s="1221">
        <v>0</v>
      </c>
      <c r="AS398" s="1221">
        <v>0</v>
      </c>
      <c r="AT398" s="1221">
        <v>0</v>
      </c>
      <c r="AU398" s="1221">
        <v>0</v>
      </c>
      <c r="AV398" s="1221">
        <v>0</v>
      </c>
      <c r="AW398" s="1221">
        <v>0</v>
      </c>
      <c r="AX398" s="1221">
        <v>0</v>
      </c>
      <c r="AY398" s="1221">
        <v>0</v>
      </c>
      <c r="AZ398" s="1221">
        <v>0</v>
      </c>
      <c r="BA398" s="1221">
        <v>0</v>
      </c>
      <c r="BB398" s="1184"/>
      <c r="BC398" s="1184"/>
      <c r="BD398" s="1184"/>
      <c r="BE398" s="1184"/>
      <c r="BF398" s="1184"/>
      <c r="BG398" s="1184"/>
      <c r="BH398" s="1184"/>
      <c r="BI398" s="1184"/>
      <c r="BJ398" s="1184"/>
      <c r="BK398" s="1184"/>
      <c r="BL398" s="208"/>
      <c r="BM398" s="1184"/>
      <c r="BN398" s="1184"/>
      <c r="BO398" s="1184"/>
      <c r="BP398" s="1184"/>
      <c r="BQ398" s="1184"/>
      <c r="BR398" s="1184"/>
      <c r="BS398" s="1184"/>
      <c r="BT398" s="1184"/>
      <c r="BU398" s="1184"/>
      <c r="BV398" s="1184"/>
      <c r="BW398" s="1184"/>
      <c r="BX398" s="1184"/>
      <c r="BY398" s="1184"/>
      <c r="BZ398" s="208"/>
      <c r="CA398" s="208"/>
      <c r="CB398" s="208"/>
      <c r="CC398" s="208"/>
      <c r="CD398" s="211"/>
    </row>
    <row r="399" ht="18" customHeight="1">
      <c r="A399" s="1285">
        <v>40279</v>
      </c>
      <c r="B399" s="1233">
        <f t="shared" si="5797" ref="B399:Q414">$F$307</f>
        <v>0</v>
      </c>
      <c r="C399" s="1233">
        <f t="shared" si="5768"/>
        <v>0</v>
      </c>
      <c r="D399" s="1233">
        <f t="shared" si="5740"/>
        <v>0</v>
      </c>
      <c r="E399" s="1233">
        <f t="shared" si="5713"/>
        <v>0</v>
      </c>
      <c r="F399" s="1233">
        <f t="shared" si="5687"/>
        <v>0</v>
      </c>
      <c r="G399" s="1233">
        <f t="shared" si="5662"/>
        <v>0</v>
      </c>
      <c r="H399" s="1233">
        <f t="shared" si="5638"/>
        <v>0</v>
      </c>
      <c r="I399" s="1233">
        <f t="shared" si="5615"/>
        <v>0</v>
      </c>
      <c r="J399" s="1233">
        <f t="shared" si="5593"/>
        <v>0</v>
      </c>
      <c r="K399" s="1233">
        <f t="shared" si="5572"/>
        <v>0</v>
      </c>
      <c r="L399" s="1233">
        <f t="shared" si="5552"/>
        <v>0</v>
      </c>
      <c r="M399" s="1233">
        <f t="shared" si="5533"/>
        <v>0</v>
      </c>
      <c r="N399" s="1233">
        <f t="shared" si="5515"/>
        <v>0</v>
      </c>
      <c r="O399" s="1233">
        <f t="shared" si="5498"/>
        <v>0</v>
      </c>
      <c r="P399" s="1233">
        <f t="shared" si="5482"/>
        <v>0</v>
      </c>
      <c r="Q399" s="1233">
        <f t="shared" si="5467"/>
        <v>0</v>
      </c>
      <c r="R399" s="1233">
        <f t="shared" si="5813" ref="R399:AG414">$F$291</f>
        <v>0</v>
      </c>
      <c r="S399" s="1233">
        <f t="shared" si="5784"/>
        <v>0</v>
      </c>
      <c r="T399" s="1233">
        <f t="shared" si="5756"/>
        <v>0</v>
      </c>
      <c r="U399" s="1233">
        <f t="shared" si="5729"/>
        <v>0</v>
      </c>
      <c r="V399" s="1233">
        <f t="shared" si="5703"/>
        <v>0</v>
      </c>
      <c r="W399" s="1233">
        <f t="shared" si="5678"/>
        <v>0</v>
      </c>
      <c r="X399" s="1233">
        <f t="shared" si="5654"/>
        <v>0</v>
      </c>
      <c r="Y399" s="1233">
        <f t="shared" si="5631"/>
        <v>0</v>
      </c>
      <c r="Z399" s="1233">
        <f t="shared" si="5609"/>
        <v>0</v>
      </c>
      <c r="AA399" s="1233">
        <f t="shared" si="5588"/>
        <v>0</v>
      </c>
      <c r="AB399" s="1233">
        <f t="shared" si="5568"/>
        <v>0</v>
      </c>
      <c r="AC399" s="1233">
        <f t="shared" si="5549"/>
        <v>0</v>
      </c>
      <c r="AD399" s="1233">
        <f t="shared" si="5531"/>
        <v>0</v>
      </c>
      <c r="AE399" s="1233">
        <f t="shared" si="5514"/>
        <v>0</v>
      </c>
      <c r="AF399" s="1221">
        <v>0</v>
      </c>
      <c r="AG399" s="1221">
        <v>0</v>
      </c>
      <c r="AH399" s="1221">
        <v>0</v>
      </c>
      <c r="AI399" s="1221">
        <v>0</v>
      </c>
      <c r="AJ399" s="1221">
        <v>0</v>
      </c>
      <c r="AK399" s="1221">
        <v>0</v>
      </c>
      <c r="AL399" s="1221">
        <v>0</v>
      </c>
      <c r="AM399" s="1221">
        <v>0</v>
      </c>
      <c r="AN399" s="1221">
        <v>0</v>
      </c>
      <c r="AO399" s="1221">
        <v>0</v>
      </c>
      <c r="AP399" s="1221">
        <v>0</v>
      </c>
      <c r="AQ399" s="1221">
        <v>0</v>
      </c>
      <c r="AR399" s="1221">
        <v>0</v>
      </c>
      <c r="AS399" s="1221">
        <v>0</v>
      </c>
      <c r="AT399" s="1221">
        <v>0</v>
      </c>
      <c r="AU399" s="1221">
        <v>0</v>
      </c>
      <c r="AV399" s="1221">
        <v>0</v>
      </c>
      <c r="AW399" s="1221">
        <v>0</v>
      </c>
      <c r="AX399" s="1221">
        <v>0</v>
      </c>
      <c r="AY399" s="1221">
        <v>0</v>
      </c>
      <c r="AZ399" s="1221">
        <v>0</v>
      </c>
      <c r="BA399" s="1221">
        <v>0</v>
      </c>
      <c r="BB399" s="1184"/>
      <c r="BC399" s="1184"/>
      <c r="BD399" s="1184"/>
      <c r="BE399" s="1184"/>
      <c r="BF399" s="1184"/>
      <c r="BG399" s="1184"/>
      <c r="BH399" s="1184"/>
      <c r="BI399" s="1184"/>
      <c r="BJ399" s="1184"/>
      <c r="BK399" s="1184"/>
      <c r="BL399" s="208"/>
      <c r="BM399" s="1184"/>
      <c r="BN399" s="1184"/>
      <c r="BO399" s="1184"/>
      <c r="BP399" s="1184"/>
      <c r="BQ399" s="1184"/>
      <c r="BR399" s="1184"/>
      <c r="BS399" s="1184"/>
      <c r="BT399" s="1184"/>
      <c r="BU399" s="1184"/>
      <c r="BV399" s="1184"/>
      <c r="BW399" s="1184"/>
      <c r="BX399" s="1184"/>
      <c r="BY399" s="1184"/>
      <c r="BZ399" s="208"/>
      <c r="CA399" s="208"/>
      <c r="CB399" s="208"/>
      <c r="CC399" s="208"/>
      <c r="CD399" s="211"/>
    </row>
    <row r="400" ht="18" customHeight="1">
      <c r="A400" s="1284">
        <v>32</v>
      </c>
      <c r="B400" s="1233">
        <v>0</v>
      </c>
      <c r="C400" s="1233">
        <f t="shared" si="5797"/>
        <v>0</v>
      </c>
      <c r="D400" s="1233">
        <f t="shared" si="5768"/>
        <v>0</v>
      </c>
      <c r="E400" s="1233">
        <f t="shared" si="5740"/>
        <v>0</v>
      </c>
      <c r="F400" s="1233">
        <f t="shared" si="5713"/>
        <v>0</v>
      </c>
      <c r="G400" s="1233">
        <f t="shared" si="5687"/>
        <v>0</v>
      </c>
      <c r="H400" s="1233">
        <f t="shared" si="5662"/>
        <v>0</v>
      </c>
      <c r="I400" s="1233">
        <f t="shared" si="5638"/>
        <v>0</v>
      </c>
      <c r="J400" s="1233">
        <f t="shared" si="5615"/>
        <v>0</v>
      </c>
      <c r="K400" s="1233">
        <f t="shared" si="5593"/>
        <v>0</v>
      </c>
      <c r="L400" s="1233">
        <f t="shared" si="5572"/>
        <v>0</v>
      </c>
      <c r="M400" s="1233">
        <f t="shared" si="5552"/>
        <v>0</v>
      </c>
      <c r="N400" s="1233">
        <f t="shared" si="5533"/>
        <v>0</v>
      </c>
      <c r="O400" s="1233">
        <f t="shared" si="5515"/>
        <v>0</v>
      </c>
      <c r="P400" s="1233">
        <f t="shared" si="5498"/>
        <v>0</v>
      </c>
      <c r="Q400" s="1233">
        <f t="shared" si="5482"/>
        <v>0</v>
      </c>
      <c r="R400" s="1233">
        <f t="shared" si="5842" ref="R400:AG415">$F$292</f>
        <v>0</v>
      </c>
      <c r="S400" s="1233">
        <f t="shared" si="5813"/>
        <v>0</v>
      </c>
      <c r="T400" s="1233">
        <f t="shared" si="5784"/>
        <v>0</v>
      </c>
      <c r="U400" s="1233">
        <f t="shared" si="5756"/>
        <v>0</v>
      </c>
      <c r="V400" s="1233">
        <f t="shared" si="5729"/>
        <v>0</v>
      </c>
      <c r="W400" s="1233">
        <f t="shared" si="5703"/>
        <v>0</v>
      </c>
      <c r="X400" s="1233">
        <f t="shared" si="5678"/>
        <v>0</v>
      </c>
      <c r="Y400" s="1233">
        <f t="shared" si="5654"/>
        <v>0</v>
      </c>
      <c r="Z400" s="1233">
        <f t="shared" si="5631"/>
        <v>0</v>
      </c>
      <c r="AA400" s="1233">
        <f t="shared" si="5609"/>
        <v>0</v>
      </c>
      <c r="AB400" s="1233">
        <f t="shared" si="5588"/>
        <v>0</v>
      </c>
      <c r="AC400" s="1233">
        <f t="shared" si="5568"/>
        <v>0</v>
      </c>
      <c r="AD400" s="1233">
        <f t="shared" si="5549"/>
        <v>0</v>
      </c>
      <c r="AE400" s="1233">
        <f t="shared" si="5531"/>
        <v>0</v>
      </c>
      <c r="AF400" s="1233">
        <f t="shared" si="5514"/>
        <v>0</v>
      </c>
      <c r="AG400" s="1221">
        <v>0</v>
      </c>
      <c r="AH400" s="1221">
        <v>0</v>
      </c>
      <c r="AI400" s="1221">
        <v>0</v>
      </c>
      <c r="AJ400" s="1221">
        <v>0</v>
      </c>
      <c r="AK400" s="1221">
        <v>0</v>
      </c>
      <c r="AL400" s="1221">
        <v>0</v>
      </c>
      <c r="AM400" s="1221">
        <v>0</v>
      </c>
      <c r="AN400" s="1221">
        <v>0</v>
      </c>
      <c r="AO400" s="1221">
        <v>0</v>
      </c>
      <c r="AP400" s="1221">
        <v>0</v>
      </c>
      <c r="AQ400" s="1221">
        <v>0</v>
      </c>
      <c r="AR400" s="1221">
        <v>0</v>
      </c>
      <c r="AS400" s="1221">
        <v>0</v>
      </c>
      <c r="AT400" s="1221">
        <v>0</v>
      </c>
      <c r="AU400" s="1221">
        <v>0</v>
      </c>
      <c r="AV400" s="1221">
        <v>0</v>
      </c>
      <c r="AW400" s="1221">
        <v>0</v>
      </c>
      <c r="AX400" s="1221">
        <v>0</v>
      </c>
      <c r="AY400" s="1221">
        <v>0</v>
      </c>
      <c r="AZ400" s="1221">
        <v>0</v>
      </c>
      <c r="BA400" s="1221">
        <v>0</v>
      </c>
      <c r="BB400" s="1184"/>
      <c r="BC400" s="1184"/>
      <c r="BD400" s="1184"/>
      <c r="BE400" s="1184"/>
      <c r="BF400" s="1184"/>
      <c r="BG400" s="1184"/>
      <c r="BH400" s="1184"/>
      <c r="BI400" s="1184"/>
      <c r="BJ400" s="1184"/>
      <c r="BK400" s="1184"/>
      <c r="BL400" s="208"/>
      <c r="BM400" s="1184"/>
      <c r="BN400" s="1184"/>
      <c r="BO400" s="1184"/>
      <c r="BP400" s="1184"/>
      <c r="BQ400" s="1184"/>
      <c r="BR400" s="1184"/>
      <c r="BS400" s="1184"/>
      <c r="BT400" s="1184"/>
      <c r="BU400" s="1184"/>
      <c r="BV400" s="1184"/>
      <c r="BW400" s="1184"/>
      <c r="BX400" s="1184"/>
      <c r="BY400" s="1184"/>
      <c r="BZ400" s="208"/>
      <c r="CA400" s="208"/>
      <c r="CB400" s="208"/>
      <c r="CC400" s="208"/>
      <c r="CD400" s="211"/>
    </row>
    <row r="401" ht="18" customHeight="1">
      <c r="A401" s="1284">
        <v>33</v>
      </c>
      <c r="B401" s="1233">
        <v>0</v>
      </c>
      <c r="C401" s="1233">
        <v>0</v>
      </c>
      <c r="D401" s="1233">
        <f t="shared" si="5797"/>
        <v>0</v>
      </c>
      <c r="E401" s="1233">
        <f t="shared" si="5768"/>
        <v>0</v>
      </c>
      <c r="F401" s="1233">
        <f t="shared" si="5740"/>
        <v>0</v>
      </c>
      <c r="G401" s="1233">
        <f t="shared" si="5713"/>
        <v>0</v>
      </c>
      <c r="H401" s="1233">
        <f t="shared" si="5687"/>
        <v>0</v>
      </c>
      <c r="I401" s="1233">
        <f t="shared" si="5662"/>
        <v>0</v>
      </c>
      <c r="J401" s="1233">
        <f t="shared" si="5638"/>
        <v>0</v>
      </c>
      <c r="K401" s="1233">
        <f t="shared" si="5615"/>
        <v>0</v>
      </c>
      <c r="L401" s="1233">
        <f t="shared" si="5593"/>
        <v>0</v>
      </c>
      <c r="M401" s="1233">
        <f t="shared" si="5572"/>
        <v>0</v>
      </c>
      <c r="N401" s="1233">
        <f t="shared" si="5552"/>
        <v>0</v>
      </c>
      <c r="O401" s="1233">
        <f t="shared" si="5533"/>
        <v>0</v>
      </c>
      <c r="P401" s="1233">
        <f t="shared" si="5515"/>
        <v>0</v>
      </c>
      <c r="Q401" s="1233">
        <f t="shared" si="5498"/>
        <v>0</v>
      </c>
      <c r="R401" s="1233">
        <f t="shared" si="5871" ref="R401:AG416">$F$293</f>
        <v>0</v>
      </c>
      <c r="S401" s="1233">
        <f t="shared" si="5842"/>
        <v>0</v>
      </c>
      <c r="T401" s="1233">
        <f t="shared" si="5813"/>
        <v>0</v>
      </c>
      <c r="U401" s="1233">
        <f t="shared" si="5784"/>
        <v>0</v>
      </c>
      <c r="V401" s="1233">
        <f t="shared" si="5756"/>
        <v>0</v>
      </c>
      <c r="W401" s="1233">
        <f t="shared" si="5729"/>
        <v>0</v>
      </c>
      <c r="X401" s="1233">
        <f t="shared" si="5703"/>
        <v>0</v>
      </c>
      <c r="Y401" s="1233">
        <f t="shared" si="5678"/>
        <v>0</v>
      </c>
      <c r="Z401" s="1233">
        <f t="shared" si="5654"/>
        <v>0</v>
      </c>
      <c r="AA401" s="1233">
        <f t="shared" si="5631"/>
        <v>0</v>
      </c>
      <c r="AB401" s="1233">
        <f t="shared" si="5609"/>
        <v>0</v>
      </c>
      <c r="AC401" s="1233">
        <f t="shared" si="5588"/>
        <v>0</v>
      </c>
      <c r="AD401" s="1233">
        <f t="shared" si="5568"/>
        <v>0</v>
      </c>
      <c r="AE401" s="1233">
        <f t="shared" si="5549"/>
        <v>0</v>
      </c>
      <c r="AF401" s="1233">
        <f t="shared" si="5531"/>
        <v>0</v>
      </c>
      <c r="AG401" s="1233">
        <f t="shared" si="5514"/>
        <v>0</v>
      </c>
      <c r="AH401" s="1221">
        <v>0</v>
      </c>
      <c r="AI401" s="1221">
        <v>0</v>
      </c>
      <c r="AJ401" s="1221">
        <v>0</v>
      </c>
      <c r="AK401" s="1221">
        <v>0</v>
      </c>
      <c r="AL401" s="1221">
        <v>0</v>
      </c>
      <c r="AM401" s="1221">
        <v>0</v>
      </c>
      <c r="AN401" s="1221">
        <v>0</v>
      </c>
      <c r="AO401" s="1221">
        <v>0</v>
      </c>
      <c r="AP401" s="1221">
        <v>0</v>
      </c>
      <c r="AQ401" s="1221">
        <v>0</v>
      </c>
      <c r="AR401" s="1221">
        <v>0</v>
      </c>
      <c r="AS401" s="1221">
        <v>0</v>
      </c>
      <c r="AT401" s="1221">
        <v>0</v>
      </c>
      <c r="AU401" s="1221">
        <v>0</v>
      </c>
      <c r="AV401" s="1221">
        <v>0</v>
      </c>
      <c r="AW401" s="1221">
        <v>0</v>
      </c>
      <c r="AX401" s="1221">
        <v>0</v>
      </c>
      <c r="AY401" s="1221">
        <v>0</v>
      </c>
      <c r="AZ401" s="1221">
        <v>0</v>
      </c>
      <c r="BA401" s="1221">
        <v>0</v>
      </c>
      <c r="BB401" s="1184"/>
      <c r="BC401" s="1184"/>
      <c r="BD401" s="1184"/>
      <c r="BE401" s="1184"/>
      <c r="BF401" s="1184"/>
      <c r="BG401" s="1184"/>
      <c r="BH401" s="1184"/>
      <c r="BI401" s="1184"/>
      <c r="BJ401" s="1184"/>
      <c r="BK401" s="1184"/>
      <c r="BL401" s="208"/>
      <c r="BM401" s="1184"/>
      <c r="BN401" s="1184"/>
      <c r="BO401" s="1184"/>
      <c r="BP401" s="1184"/>
      <c r="BQ401" s="1184"/>
      <c r="BR401" s="1184"/>
      <c r="BS401" s="1184"/>
      <c r="BT401" s="1184"/>
      <c r="BU401" s="1184"/>
      <c r="BV401" s="1184"/>
      <c r="BW401" s="1184"/>
      <c r="BX401" s="1184"/>
      <c r="BY401" s="1184"/>
      <c r="BZ401" s="208"/>
      <c r="CA401" s="208"/>
      <c r="CB401" s="208"/>
      <c r="CC401" s="208"/>
      <c r="CD401" s="211"/>
    </row>
    <row r="402" ht="18" customHeight="1">
      <c r="A402" s="1284">
        <v>34</v>
      </c>
      <c r="B402" s="1233">
        <v>0</v>
      </c>
      <c r="C402" s="1233">
        <v>0</v>
      </c>
      <c r="D402" s="1233">
        <v>0</v>
      </c>
      <c r="E402" s="1233">
        <f t="shared" si="5797"/>
        <v>0</v>
      </c>
      <c r="F402" s="1233">
        <f t="shared" si="5768"/>
        <v>0</v>
      </c>
      <c r="G402" s="1233">
        <f t="shared" si="5740"/>
        <v>0</v>
      </c>
      <c r="H402" s="1233">
        <f t="shared" si="5713"/>
        <v>0</v>
      </c>
      <c r="I402" s="1233">
        <f t="shared" si="5687"/>
        <v>0</v>
      </c>
      <c r="J402" s="1233">
        <f t="shared" si="5662"/>
        <v>0</v>
      </c>
      <c r="K402" s="1233">
        <f t="shared" si="5638"/>
        <v>0</v>
      </c>
      <c r="L402" s="1233">
        <f t="shared" si="5615"/>
        <v>0</v>
      </c>
      <c r="M402" s="1233">
        <f t="shared" si="5593"/>
        <v>0</v>
      </c>
      <c r="N402" s="1233">
        <f t="shared" si="5572"/>
        <v>0</v>
      </c>
      <c r="O402" s="1233">
        <f t="shared" si="5552"/>
        <v>0</v>
      </c>
      <c r="P402" s="1233">
        <f t="shared" si="5533"/>
        <v>0</v>
      </c>
      <c r="Q402" s="1233">
        <f t="shared" si="5515"/>
        <v>0</v>
      </c>
      <c r="R402" s="1233">
        <f t="shared" si="5900" ref="R402:AG417">$F$294</f>
        <v>0</v>
      </c>
      <c r="S402" s="1233">
        <f t="shared" si="5871"/>
        <v>0</v>
      </c>
      <c r="T402" s="1233">
        <f t="shared" si="5842"/>
        <v>0</v>
      </c>
      <c r="U402" s="1233">
        <f t="shared" si="5813"/>
        <v>0</v>
      </c>
      <c r="V402" s="1233">
        <f t="shared" si="5784"/>
        <v>0</v>
      </c>
      <c r="W402" s="1233">
        <f t="shared" si="5756"/>
        <v>0</v>
      </c>
      <c r="X402" s="1233">
        <f t="shared" si="5729"/>
        <v>0</v>
      </c>
      <c r="Y402" s="1233">
        <f t="shared" si="5703"/>
        <v>0</v>
      </c>
      <c r="Z402" s="1233">
        <f t="shared" si="5678"/>
        <v>0</v>
      </c>
      <c r="AA402" s="1233">
        <f t="shared" si="5654"/>
        <v>0</v>
      </c>
      <c r="AB402" s="1233">
        <f t="shared" si="5631"/>
        <v>0</v>
      </c>
      <c r="AC402" s="1233">
        <f t="shared" si="5609"/>
        <v>0</v>
      </c>
      <c r="AD402" s="1233">
        <f t="shared" si="5588"/>
        <v>0</v>
      </c>
      <c r="AE402" s="1233">
        <f t="shared" si="5568"/>
        <v>0</v>
      </c>
      <c r="AF402" s="1233">
        <f t="shared" si="5549"/>
        <v>0</v>
      </c>
      <c r="AG402" s="1233">
        <f t="shared" si="5531"/>
        <v>0</v>
      </c>
      <c r="AH402" s="1233">
        <f t="shared" si="5916" ref="AH402:AW417">$F$278</f>
        <v>0</v>
      </c>
      <c r="AI402" s="1221">
        <v>0</v>
      </c>
      <c r="AJ402" s="1221">
        <v>0</v>
      </c>
      <c r="AK402" s="1221">
        <v>0</v>
      </c>
      <c r="AL402" s="1221">
        <v>0</v>
      </c>
      <c r="AM402" s="1221">
        <v>0</v>
      </c>
      <c r="AN402" s="1221">
        <v>0</v>
      </c>
      <c r="AO402" s="1221">
        <v>0</v>
      </c>
      <c r="AP402" s="1221">
        <v>0</v>
      </c>
      <c r="AQ402" s="1221">
        <v>0</v>
      </c>
      <c r="AR402" s="1221">
        <v>0</v>
      </c>
      <c r="AS402" s="1221">
        <v>0</v>
      </c>
      <c r="AT402" s="1221">
        <v>0</v>
      </c>
      <c r="AU402" s="1221">
        <v>0</v>
      </c>
      <c r="AV402" s="1221">
        <v>0</v>
      </c>
      <c r="AW402" s="1221">
        <v>0</v>
      </c>
      <c r="AX402" s="1221">
        <v>0</v>
      </c>
      <c r="AY402" s="1221">
        <v>0</v>
      </c>
      <c r="AZ402" s="1221">
        <v>0</v>
      </c>
      <c r="BA402" s="1221">
        <v>0</v>
      </c>
      <c r="BB402" s="1184"/>
      <c r="BC402" s="1184"/>
      <c r="BD402" s="1184"/>
      <c r="BE402" s="1184"/>
      <c r="BF402" s="1184"/>
      <c r="BG402" s="1184"/>
      <c r="BH402" s="1184"/>
      <c r="BI402" s="1184"/>
      <c r="BJ402" s="1184"/>
      <c r="BK402" s="1184"/>
      <c r="BL402" s="208"/>
      <c r="BM402" s="1184"/>
      <c r="BN402" s="1184"/>
      <c r="BO402" s="1184"/>
      <c r="BP402" s="1184"/>
      <c r="BQ402" s="1184"/>
      <c r="BR402" s="1184"/>
      <c r="BS402" s="1184"/>
      <c r="BT402" s="1184"/>
      <c r="BU402" s="1184"/>
      <c r="BV402" s="1184"/>
      <c r="BW402" s="1184"/>
      <c r="BX402" s="1184"/>
      <c r="BY402" s="1184"/>
      <c r="BZ402" s="208"/>
      <c r="CA402" s="208"/>
      <c r="CB402" s="208"/>
      <c r="CC402" s="208"/>
      <c r="CD402" s="211"/>
    </row>
    <row r="403" ht="18" customHeight="1">
      <c r="A403" s="1284">
        <v>35</v>
      </c>
      <c r="B403" s="1233">
        <v>0</v>
      </c>
      <c r="C403" s="1233">
        <v>0</v>
      </c>
      <c r="D403" s="1233">
        <v>0</v>
      </c>
      <c r="E403" s="1233">
        <v>0</v>
      </c>
      <c r="F403" s="1233">
        <f t="shared" si="5797"/>
        <v>0</v>
      </c>
      <c r="G403" s="1233">
        <f t="shared" si="5768"/>
        <v>0</v>
      </c>
      <c r="H403" s="1233">
        <f t="shared" si="5740"/>
        <v>0</v>
      </c>
      <c r="I403" s="1233">
        <f t="shared" si="5713"/>
        <v>0</v>
      </c>
      <c r="J403" s="1233">
        <f t="shared" si="5687"/>
        <v>0</v>
      </c>
      <c r="K403" s="1233">
        <f t="shared" si="5662"/>
        <v>0</v>
      </c>
      <c r="L403" s="1233">
        <f t="shared" si="5638"/>
        <v>0</v>
      </c>
      <c r="M403" s="1233">
        <f t="shared" si="5615"/>
        <v>0</v>
      </c>
      <c r="N403" s="1233">
        <f t="shared" si="5593"/>
        <v>0</v>
      </c>
      <c r="O403" s="1233">
        <f t="shared" si="5572"/>
        <v>0</v>
      </c>
      <c r="P403" s="1233">
        <f t="shared" si="5552"/>
        <v>0</v>
      </c>
      <c r="Q403" s="1233">
        <f t="shared" si="5533"/>
        <v>0</v>
      </c>
      <c r="R403" s="1233">
        <f t="shared" si="5929" ref="R403:AG418">$F$295</f>
        <v>0</v>
      </c>
      <c r="S403" s="1233">
        <f t="shared" si="5900"/>
        <v>0</v>
      </c>
      <c r="T403" s="1233">
        <f t="shared" si="5871"/>
        <v>0</v>
      </c>
      <c r="U403" s="1233">
        <f t="shared" si="5842"/>
        <v>0</v>
      </c>
      <c r="V403" s="1233">
        <f t="shared" si="5813"/>
        <v>0</v>
      </c>
      <c r="W403" s="1233">
        <f t="shared" si="5784"/>
        <v>0</v>
      </c>
      <c r="X403" s="1233">
        <f t="shared" si="5756"/>
        <v>0</v>
      </c>
      <c r="Y403" s="1233">
        <f t="shared" si="5729"/>
        <v>0</v>
      </c>
      <c r="Z403" s="1233">
        <f t="shared" si="5703"/>
        <v>0</v>
      </c>
      <c r="AA403" s="1233">
        <f t="shared" si="5678"/>
        <v>0</v>
      </c>
      <c r="AB403" s="1233">
        <f t="shared" si="5654"/>
        <v>0</v>
      </c>
      <c r="AC403" s="1233">
        <f t="shared" si="5631"/>
        <v>0</v>
      </c>
      <c r="AD403" s="1233">
        <f t="shared" si="5609"/>
        <v>0</v>
      </c>
      <c r="AE403" s="1233">
        <f t="shared" si="5588"/>
        <v>0</v>
      </c>
      <c r="AF403" s="1233">
        <f t="shared" si="5568"/>
        <v>0</v>
      </c>
      <c r="AG403" s="1233">
        <f t="shared" si="5549"/>
        <v>0</v>
      </c>
      <c r="AH403" s="1233">
        <f t="shared" si="5945" ref="AH403:AW418">$F$279</f>
        <v>0</v>
      </c>
      <c r="AI403" s="1233">
        <f t="shared" si="5916"/>
        <v>0</v>
      </c>
      <c r="AJ403" s="1221">
        <v>0</v>
      </c>
      <c r="AK403" s="1221">
        <v>0</v>
      </c>
      <c r="AL403" s="1221">
        <v>0</v>
      </c>
      <c r="AM403" s="1221">
        <v>0</v>
      </c>
      <c r="AN403" s="1221">
        <v>0</v>
      </c>
      <c r="AO403" s="1221">
        <v>0</v>
      </c>
      <c r="AP403" s="1221">
        <v>0</v>
      </c>
      <c r="AQ403" s="1221">
        <v>0</v>
      </c>
      <c r="AR403" s="1221">
        <v>0</v>
      </c>
      <c r="AS403" s="1221">
        <v>0</v>
      </c>
      <c r="AT403" s="1221">
        <v>0</v>
      </c>
      <c r="AU403" s="1221">
        <v>0</v>
      </c>
      <c r="AV403" s="1221">
        <v>0</v>
      </c>
      <c r="AW403" s="1221">
        <v>0</v>
      </c>
      <c r="AX403" s="1221">
        <v>0</v>
      </c>
      <c r="AY403" s="1221">
        <v>0</v>
      </c>
      <c r="AZ403" s="1221">
        <v>0</v>
      </c>
      <c r="BA403" s="1221">
        <v>0</v>
      </c>
      <c r="BB403" s="1217"/>
      <c r="BC403" s="1184"/>
      <c r="BD403" s="1184"/>
      <c r="BE403" s="1184"/>
      <c r="BF403" s="1184"/>
      <c r="BG403" s="1184"/>
      <c r="BH403" s="1184"/>
      <c r="BI403" s="1184"/>
      <c r="BJ403" s="1184"/>
      <c r="BK403" s="1184"/>
      <c r="BL403" s="208"/>
      <c r="BM403" s="1184"/>
      <c r="BN403" s="1184"/>
      <c r="BO403" s="1184"/>
      <c r="BP403" s="1184"/>
      <c r="BQ403" s="1184"/>
      <c r="BR403" s="1184"/>
      <c r="BS403" s="1184"/>
      <c r="BT403" s="1184"/>
      <c r="BU403" s="1184"/>
      <c r="BV403" s="1184"/>
      <c r="BW403" s="1184"/>
      <c r="BX403" s="1184"/>
      <c r="BY403" s="1184"/>
      <c r="BZ403" s="208"/>
      <c r="CA403" s="208"/>
      <c r="CB403" s="208"/>
      <c r="CC403" s="208"/>
      <c r="CD403" s="211"/>
    </row>
    <row r="404" ht="18" customHeight="1">
      <c r="A404" s="1285">
        <v>40279</v>
      </c>
      <c r="B404" s="1233">
        <v>0</v>
      </c>
      <c r="C404" s="1233">
        <v>0</v>
      </c>
      <c r="D404" s="1233">
        <v>0</v>
      </c>
      <c r="E404" s="1233">
        <v>0</v>
      </c>
      <c r="F404" s="1233">
        <v>0</v>
      </c>
      <c r="G404" s="1233">
        <f t="shared" si="5797"/>
        <v>0</v>
      </c>
      <c r="H404" s="1233">
        <f t="shared" si="5768"/>
        <v>0</v>
      </c>
      <c r="I404" s="1233">
        <f t="shared" si="5740"/>
        <v>0</v>
      </c>
      <c r="J404" s="1233">
        <f t="shared" si="5713"/>
        <v>0</v>
      </c>
      <c r="K404" s="1233">
        <f t="shared" si="5687"/>
        <v>0</v>
      </c>
      <c r="L404" s="1233">
        <f t="shared" si="5662"/>
        <v>0</v>
      </c>
      <c r="M404" s="1233">
        <f t="shared" si="5638"/>
        <v>0</v>
      </c>
      <c r="N404" s="1233">
        <f t="shared" si="5615"/>
        <v>0</v>
      </c>
      <c r="O404" s="1233">
        <f t="shared" si="5593"/>
        <v>0</v>
      </c>
      <c r="P404" s="1233">
        <f t="shared" si="5572"/>
        <v>0</v>
      </c>
      <c r="Q404" s="1233">
        <f t="shared" si="5552"/>
        <v>0</v>
      </c>
      <c r="R404" s="1233">
        <f t="shared" si="5958" ref="R404:AG419">$F$296</f>
        <v>0</v>
      </c>
      <c r="S404" s="1233">
        <f t="shared" si="5929"/>
        <v>0</v>
      </c>
      <c r="T404" s="1233">
        <f t="shared" si="5900"/>
        <v>0</v>
      </c>
      <c r="U404" s="1233">
        <f t="shared" si="5871"/>
        <v>0</v>
      </c>
      <c r="V404" s="1233">
        <f t="shared" si="5842"/>
        <v>0</v>
      </c>
      <c r="W404" s="1233">
        <f t="shared" si="5813"/>
        <v>0</v>
      </c>
      <c r="X404" s="1233">
        <f t="shared" si="5784"/>
        <v>0</v>
      </c>
      <c r="Y404" s="1233">
        <f t="shared" si="5756"/>
        <v>0</v>
      </c>
      <c r="Z404" s="1233">
        <f t="shared" si="5729"/>
        <v>0</v>
      </c>
      <c r="AA404" s="1233">
        <f t="shared" si="5703"/>
        <v>0</v>
      </c>
      <c r="AB404" s="1233">
        <f t="shared" si="5678"/>
        <v>0</v>
      </c>
      <c r="AC404" s="1233">
        <f t="shared" si="5654"/>
        <v>0</v>
      </c>
      <c r="AD404" s="1233">
        <f t="shared" si="5631"/>
        <v>0</v>
      </c>
      <c r="AE404" s="1233">
        <f t="shared" si="5609"/>
        <v>0</v>
      </c>
      <c r="AF404" s="1233">
        <f t="shared" si="5588"/>
        <v>0</v>
      </c>
      <c r="AG404" s="1233">
        <f t="shared" si="5568"/>
        <v>0</v>
      </c>
      <c r="AH404" s="1233">
        <f t="shared" si="5974" ref="AH404:AW419">$F$280</f>
        <v>0</v>
      </c>
      <c r="AI404" s="1233">
        <f t="shared" si="5945"/>
        <v>0</v>
      </c>
      <c r="AJ404" s="1233">
        <f t="shared" si="5916"/>
        <v>0</v>
      </c>
      <c r="AK404" s="1221">
        <v>0</v>
      </c>
      <c r="AL404" s="1221">
        <v>0</v>
      </c>
      <c r="AM404" s="1221">
        <v>0</v>
      </c>
      <c r="AN404" s="1221">
        <v>0</v>
      </c>
      <c r="AO404" s="1221">
        <v>0</v>
      </c>
      <c r="AP404" s="1221">
        <v>0</v>
      </c>
      <c r="AQ404" s="1221">
        <v>0</v>
      </c>
      <c r="AR404" s="1221">
        <v>0</v>
      </c>
      <c r="AS404" s="1221">
        <v>0</v>
      </c>
      <c r="AT404" s="1221">
        <v>0</v>
      </c>
      <c r="AU404" s="1221">
        <v>0</v>
      </c>
      <c r="AV404" s="1221">
        <v>0</v>
      </c>
      <c r="AW404" s="1221">
        <v>0</v>
      </c>
      <c r="AX404" s="1221">
        <v>0</v>
      </c>
      <c r="AY404" s="1221">
        <v>0</v>
      </c>
      <c r="AZ404" s="1221">
        <v>0</v>
      </c>
      <c r="BA404" s="1221">
        <v>0</v>
      </c>
      <c r="BB404" s="1217"/>
      <c r="BC404" s="1217"/>
      <c r="BD404" s="1184"/>
      <c r="BE404" s="1184"/>
      <c r="BF404" s="1184"/>
      <c r="BG404" s="1184"/>
      <c r="BH404" s="1184"/>
      <c r="BI404" s="1184"/>
      <c r="BJ404" s="1184"/>
      <c r="BK404" s="1184"/>
      <c r="BL404" s="208"/>
      <c r="BM404" s="1184"/>
      <c r="BN404" s="1184"/>
      <c r="BO404" s="1184"/>
      <c r="BP404" s="1184"/>
      <c r="BQ404" s="1184"/>
      <c r="BR404" s="1184"/>
      <c r="BS404" s="1184"/>
      <c r="BT404" s="1184"/>
      <c r="BU404" s="1184"/>
      <c r="BV404" s="1184"/>
      <c r="BW404" s="1184"/>
      <c r="BX404" s="1184"/>
      <c r="BY404" s="1184"/>
      <c r="BZ404" s="208"/>
      <c r="CA404" s="208"/>
      <c r="CB404" s="208"/>
      <c r="CC404" s="208"/>
      <c r="CD404" s="211"/>
    </row>
    <row r="405" ht="18" customHeight="1">
      <c r="A405" s="1284">
        <v>37</v>
      </c>
      <c r="B405" s="1233">
        <v>0</v>
      </c>
      <c r="C405" s="1233">
        <v>0</v>
      </c>
      <c r="D405" s="1233">
        <v>0</v>
      </c>
      <c r="E405" s="1233">
        <v>0</v>
      </c>
      <c r="F405" s="1233">
        <v>0</v>
      </c>
      <c r="G405" s="1233">
        <v>0</v>
      </c>
      <c r="H405" s="1233">
        <f t="shared" si="5797"/>
        <v>0</v>
      </c>
      <c r="I405" s="1233">
        <f t="shared" si="5768"/>
        <v>0</v>
      </c>
      <c r="J405" s="1233">
        <f t="shared" si="5740"/>
        <v>0</v>
      </c>
      <c r="K405" s="1233">
        <f t="shared" si="5713"/>
        <v>0</v>
      </c>
      <c r="L405" s="1233">
        <f t="shared" si="5687"/>
        <v>0</v>
      </c>
      <c r="M405" s="1233">
        <f t="shared" si="5662"/>
        <v>0</v>
      </c>
      <c r="N405" s="1233">
        <f t="shared" si="5638"/>
        <v>0</v>
      </c>
      <c r="O405" s="1233">
        <f t="shared" si="5615"/>
        <v>0</v>
      </c>
      <c r="P405" s="1233">
        <f t="shared" si="5593"/>
        <v>0</v>
      </c>
      <c r="Q405" s="1233">
        <f t="shared" si="5572"/>
        <v>0</v>
      </c>
      <c r="R405" s="1233">
        <f t="shared" si="5987" ref="R405:AG420">$F$297</f>
        <v>0</v>
      </c>
      <c r="S405" s="1233">
        <f t="shared" si="5958"/>
        <v>0</v>
      </c>
      <c r="T405" s="1233">
        <f t="shared" si="5929"/>
        <v>0</v>
      </c>
      <c r="U405" s="1233">
        <f t="shared" si="5900"/>
        <v>0</v>
      </c>
      <c r="V405" s="1233">
        <f t="shared" si="5871"/>
        <v>0</v>
      </c>
      <c r="W405" s="1233">
        <f t="shared" si="5842"/>
        <v>0</v>
      </c>
      <c r="X405" s="1233">
        <f t="shared" si="5813"/>
        <v>0</v>
      </c>
      <c r="Y405" s="1233">
        <f t="shared" si="5784"/>
        <v>0</v>
      </c>
      <c r="Z405" s="1233">
        <f t="shared" si="5756"/>
        <v>0</v>
      </c>
      <c r="AA405" s="1233">
        <f t="shared" si="5729"/>
        <v>0</v>
      </c>
      <c r="AB405" s="1233">
        <f t="shared" si="5703"/>
        <v>0</v>
      </c>
      <c r="AC405" s="1233">
        <f t="shared" si="5678"/>
        <v>0</v>
      </c>
      <c r="AD405" s="1233">
        <f t="shared" si="5654"/>
        <v>0</v>
      </c>
      <c r="AE405" s="1233">
        <f t="shared" si="5631"/>
        <v>0</v>
      </c>
      <c r="AF405" s="1233">
        <f t="shared" si="5609"/>
        <v>0</v>
      </c>
      <c r="AG405" s="1233">
        <f t="shared" si="5588"/>
        <v>0</v>
      </c>
      <c r="AH405" s="1233">
        <f t="shared" si="6003" ref="AH405:AW420">$F$281</f>
        <v>0</v>
      </c>
      <c r="AI405" s="1233">
        <f t="shared" si="5974"/>
        <v>0</v>
      </c>
      <c r="AJ405" s="1233">
        <f t="shared" si="5945"/>
        <v>0</v>
      </c>
      <c r="AK405" s="1233">
        <f t="shared" si="5916"/>
        <v>0</v>
      </c>
      <c r="AL405" s="1221">
        <v>0</v>
      </c>
      <c r="AM405" s="1221">
        <v>0</v>
      </c>
      <c r="AN405" s="1221">
        <v>0</v>
      </c>
      <c r="AO405" s="1221">
        <v>0</v>
      </c>
      <c r="AP405" s="1221">
        <v>0</v>
      </c>
      <c r="AQ405" s="1221">
        <v>0</v>
      </c>
      <c r="AR405" s="1221">
        <v>0</v>
      </c>
      <c r="AS405" s="1221">
        <v>0</v>
      </c>
      <c r="AT405" s="1221">
        <v>0</v>
      </c>
      <c r="AU405" s="1221">
        <v>0</v>
      </c>
      <c r="AV405" s="1221">
        <v>0</v>
      </c>
      <c r="AW405" s="1221">
        <v>0</v>
      </c>
      <c r="AX405" s="1221">
        <v>0</v>
      </c>
      <c r="AY405" s="1221">
        <v>0</v>
      </c>
      <c r="AZ405" s="1221">
        <v>0</v>
      </c>
      <c r="BA405" s="1221">
        <v>0</v>
      </c>
      <c r="BB405" s="1217"/>
      <c r="BC405" s="1217"/>
      <c r="BD405" s="1217"/>
      <c r="BE405" s="1184"/>
      <c r="BF405" s="1184"/>
      <c r="BG405" s="1184"/>
      <c r="BH405" s="1184"/>
      <c r="BI405" s="1184"/>
      <c r="BJ405" s="1184"/>
      <c r="BK405" s="1184"/>
      <c r="BL405" s="208"/>
      <c r="BM405" s="1184"/>
      <c r="BN405" s="1184"/>
      <c r="BO405" s="1184"/>
      <c r="BP405" s="1184"/>
      <c r="BQ405" s="1184"/>
      <c r="BR405" s="1184"/>
      <c r="BS405" s="1184"/>
      <c r="BT405" s="1184"/>
      <c r="BU405" s="1184"/>
      <c r="BV405" s="1184"/>
      <c r="BW405" s="1184"/>
      <c r="BX405" s="1184"/>
      <c r="BY405" s="1184"/>
      <c r="BZ405" s="208"/>
      <c r="CA405" s="208"/>
      <c r="CB405" s="208"/>
      <c r="CC405" s="208"/>
      <c r="CD405" s="211"/>
    </row>
    <row r="406" ht="18" customHeight="1">
      <c r="A406" s="1284">
        <v>38</v>
      </c>
      <c r="B406" s="1233">
        <v>0</v>
      </c>
      <c r="C406" s="1233">
        <v>0</v>
      </c>
      <c r="D406" s="1233">
        <v>0</v>
      </c>
      <c r="E406" s="1233">
        <v>0</v>
      </c>
      <c r="F406" s="1233">
        <v>0</v>
      </c>
      <c r="G406" s="1233">
        <v>0</v>
      </c>
      <c r="H406" s="1233">
        <v>0</v>
      </c>
      <c r="I406" s="1233">
        <f t="shared" si="5797"/>
        <v>0</v>
      </c>
      <c r="J406" s="1233">
        <f t="shared" si="5768"/>
        <v>0</v>
      </c>
      <c r="K406" s="1233">
        <f t="shared" si="5740"/>
        <v>0</v>
      </c>
      <c r="L406" s="1233">
        <f t="shared" si="5713"/>
        <v>0</v>
      </c>
      <c r="M406" s="1233">
        <f t="shared" si="5687"/>
        <v>0</v>
      </c>
      <c r="N406" s="1233">
        <f t="shared" si="5662"/>
        <v>0</v>
      </c>
      <c r="O406" s="1233">
        <f t="shared" si="5638"/>
        <v>0</v>
      </c>
      <c r="P406" s="1233">
        <f t="shared" si="5615"/>
        <v>0</v>
      </c>
      <c r="Q406" s="1233">
        <f t="shared" si="5593"/>
        <v>0</v>
      </c>
      <c r="R406" s="1233">
        <f t="shared" si="6016" ref="R406:AG421">$F$298</f>
        <v>0</v>
      </c>
      <c r="S406" s="1233">
        <f t="shared" si="5987"/>
        <v>0</v>
      </c>
      <c r="T406" s="1233">
        <f t="shared" si="5958"/>
        <v>0</v>
      </c>
      <c r="U406" s="1233">
        <f t="shared" si="5929"/>
        <v>0</v>
      </c>
      <c r="V406" s="1233">
        <f t="shared" si="5900"/>
        <v>0</v>
      </c>
      <c r="W406" s="1233">
        <f t="shared" si="5871"/>
        <v>0</v>
      </c>
      <c r="X406" s="1233">
        <f t="shared" si="5842"/>
        <v>0</v>
      </c>
      <c r="Y406" s="1233">
        <f t="shared" si="5813"/>
        <v>0</v>
      </c>
      <c r="Z406" s="1233">
        <f t="shared" si="5784"/>
        <v>0</v>
      </c>
      <c r="AA406" s="1233">
        <f t="shared" si="5756"/>
        <v>0</v>
      </c>
      <c r="AB406" s="1233">
        <f t="shared" si="5729"/>
        <v>0</v>
      </c>
      <c r="AC406" s="1233">
        <f t="shared" si="5703"/>
        <v>0</v>
      </c>
      <c r="AD406" s="1233">
        <f t="shared" si="5678"/>
        <v>0</v>
      </c>
      <c r="AE406" s="1233">
        <f t="shared" si="5654"/>
        <v>0</v>
      </c>
      <c r="AF406" s="1233">
        <f t="shared" si="5631"/>
        <v>0</v>
      </c>
      <c r="AG406" s="1233">
        <f t="shared" si="5609"/>
        <v>0</v>
      </c>
      <c r="AH406" s="1233">
        <f t="shared" si="6032" ref="AH406:AW421">$F$282</f>
        <v>0</v>
      </c>
      <c r="AI406" s="1233">
        <f t="shared" si="6003"/>
        <v>0</v>
      </c>
      <c r="AJ406" s="1233">
        <f t="shared" si="5974"/>
        <v>0</v>
      </c>
      <c r="AK406" s="1233">
        <f t="shared" si="5945"/>
        <v>0</v>
      </c>
      <c r="AL406" s="1233">
        <f t="shared" si="5916"/>
        <v>0</v>
      </c>
      <c r="AM406" s="1221">
        <v>0</v>
      </c>
      <c r="AN406" s="1221">
        <v>0</v>
      </c>
      <c r="AO406" s="1221">
        <v>0</v>
      </c>
      <c r="AP406" s="1221">
        <v>0</v>
      </c>
      <c r="AQ406" s="1221">
        <v>0</v>
      </c>
      <c r="AR406" s="1221">
        <v>0</v>
      </c>
      <c r="AS406" s="1221">
        <v>0</v>
      </c>
      <c r="AT406" s="1221">
        <v>0</v>
      </c>
      <c r="AU406" s="1221">
        <v>0</v>
      </c>
      <c r="AV406" s="1221">
        <v>0</v>
      </c>
      <c r="AW406" s="1221">
        <v>0</v>
      </c>
      <c r="AX406" s="1221">
        <v>0</v>
      </c>
      <c r="AY406" s="1221">
        <v>0</v>
      </c>
      <c r="AZ406" s="1221">
        <v>0</v>
      </c>
      <c r="BA406" s="1221">
        <v>0</v>
      </c>
      <c r="BB406" s="1217"/>
      <c r="BC406" s="1217"/>
      <c r="BD406" s="1217"/>
      <c r="BE406" s="1217"/>
      <c r="BF406" s="1184"/>
      <c r="BG406" s="1184"/>
      <c r="BH406" s="1184"/>
      <c r="BI406" s="1184"/>
      <c r="BJ406" s="1184"/>
      <c r="BK406" s="1184"/>
      <c r="BL406" s="208"/>
      <c r="BM406" s="1184"/>
      <c r="BN406" s="1184"/>
      <c r="BO406" s="1184"/>
      <c r="BP406" s="1184"/>
      <c r="BQ406" s="1184"/>
      <c r="BR406" s="1184"/>
      <c r="BS406" s="1184"/>
      <c r="BT406" s="1184"/>
      <c r="BU406" s="1184"/>
      <c r="BV406" s="1184"/>
      <c r="BW406" s="1184"/>
      <c r="BX406" s="1184"/>
      <c r="BY406" s="1184"/>
      <c r="BZ406" s="208"/>
      <c r="CA406" s="208"/>
      <c r="CB406" s="208"/>
      <c r="CC406" s="208"/>
      <c r="CD406" s="211"/>
    </row>
    <row r="407" ht="18" customHeight="1">
      <c r="A407" s="1284">
        <v>39</v>
      </c>
      <c r="B407" s="1233">
        <v>0</v>
      </c>
      <c r="C407" s="1233">
        <v>0</v>
      </c>
      <c r="D407" s="1233">
        <v>0</v>
      </c>
      <c r="E407" s="1233">
        <v>0</v>
      </c>
      <c r="F407" s="1233">
        <v>0</v>
      </c>
      <c r="G407" s="1233">
        <v>0</v>
      </c>
      <c r="H407" s="1233">
        <v>0</v>
      </c>
      <c r="I407" s="1233">
        <v>0</v>
      </c>
      <c r="J407" s="1233">
        <f t="shared" si="5797"/>
        <v>0</v>
      </c>
      <c r="K407" s="1233">
        <f t="shared" si="5768"/>
        <v>0</v>
      </c>
      <c r="L407" s="1233">
        <f t="shared" si="5740"/>
        <v>0</v>
      </c>
      <c r="M407" s="1233">
        <f t="shared" si="5713"/>
        <v>0</v>
      </c>
      <c r="N407" s="1233">
        <f t="shared" si="5687"/>
        <v>0</v>
      </c>
      <c r="O407" s="1233">
        <f t="shared" si="5662"/>
        <v>0</v>
      </c>
      <c r="P407" s="1233">
        <f t="shared" si="5638"/>
        <v>0</v>
      </c>
      <c r="Q407" s="1233">
        <f t="shared" si="5615"/>
        <v>0</v>
      </c>
      <c r="R407" s="1233">
        <f t="shared" si="6045" ref="R407:AG422">$F$299</f>
        <v>0</v>
      </c>
      <c r="S407" s="1233">
        <f t="shared" si="6016"/>
        <v>0</v>
      </c>
      <c r="T407" s="1233">
        <f t="shared" si="5987"/>
        <v>0</v>
      </c>
      <c r="U407" s="1233">
        <f t="shared" si="5958"/>
        <v>0</v>
      </c>
      <c r="V407" s="1233">
        <f t="shared" si="5929"/>
        <v>0</v>
      </c>
      <c r="W407" s="1233">
        <f t="shared" si="5900"/>
        <v>0</v>
      </c>
      <c r="X407" s="1233">
        <f t="shared" si="5871"/>
        <v>0</v>
      </c>
      <c r="Y407" s="1233">
        <f t="shared" si="5842"/>
        <v>0</v>
      </c>
      <c r="Z407" s="1233">
        <f t="shared" si="5813"/>
        <v>0</v>
      </c>
      <c r="AA407" s="1233">
        <f t="shared" si="5784"/>
        <v>0</v>
      </c>
      <c r="AB407" s="1233">
        <f t="shared" si="5756"/>
        <v>0</v>
      </c>
      <c r="AC407" s="1233">
        <f t="shared" si="5729"/>
        <v>0</v>
      </c>
      <c r="AD407" s="1233">
        <f t="shared" si="5703"/>
        <v>0</v>
      </c>
      <c r="AE407" s="1233">
        <f t="shared" si="5678"/>
        <v>0</v>
      </c>
      <c r="AF407" s="1233">
        <f t="shared" si="5654"/>
        <v>0</v>
      </c>
      <c r="AG407" s="1233">
        <f t="shared" si="5631"/>
        <v>0</v>
      </c>
      <c r="AH407" s="1233">
        <f t="shared" si="6061" ref="AH407:AW422">$F$283</f>
        <v>0</v>
      </c>
      <c r="AI407" s="1233">
        <f t="shared" si="6032"/>
        <v>0</v>
      </c>
      <c r="AJ407" s="1233">
        <f t="shared" si="6003"/>
        <v>0</v>
      </c>
      <c r="AK407" s="1233">
        <f t="shared" si="5974"/>
        <v>0</v>
      </c>
      <c r="AL407" s="1233">
        <f t="shared" si="5945"/>
        <v>0</v>
      </c>
      <c r="AM407" s="1233">
        <f t="shared" si="5916"/>
        <v>0</v>
      </c>
      <c r="AN407" s="1221">
        <v>0</v>
      </c>
      <c r="AO407" s="1221">
        <v>0</v>
      </c>
      <c r="AP407" s="1221">
        <v>0</v>
      </c>
      <c r="AQ407" s="1221">
        <v>0</v>
      </c>
      <c r="AR407" s="1221">
        <v>0</v>
      </c>
      <c r="AS407" s="1221">
        <v>0</v>
      </c>
      <c r="AT407" s="1221">
        <v>0</v>
      </c>
      <c r="AU407" s="1221">
        <v>0</v>
      </c>
      <c r="AV407" s="1221">
        <v>0</v>
      </c>
      <c r="AW407" s="1221">
        <v>0</v>
      </c>
      <c r="AX407" s="1221">
        <v>0</v>
      </c>
      <c r="AY407" s="1221">
        <v>0</v>
      </c>
      <c r="AZ407" s="1221">
        <v>0</v>
      </c>
      <c r="BA407" s="1221">
        <v>0</v>
      </c>
      <c r="BB407" s="1217"/>
      <c r="BC407" s="1217"/>
      <c r="BD407" s="1217"/>
      <c r="BE407" s="1217"/>
      <c r="BF407" s="1217"/>
      <c r="BG407" s="1184"/>
      <c r="BH407" s="1184"/>
      <c r="BI407" s="1184"/>
      <c r="BJ407" s="1184"/>
      <c r="BK407" s="1184"/>
      <c r="BL407" s="208"/>
      <c r="BM407" s="1184"/>
      <c r="BN407" s="1184"/>
      <c r="BO407" s="1184"/>
      <c r="BP407" s="1184"/>
      <c r="BQ407" s="1184"/>
      <c r="BR407" s="1184"/>
      <c r="BS407" s="1184"/>
      <c r="BT407" s="1184"/>
      <c r="BU407" s="1184"/>
      <c r="BV407" s="1184"/>
      <c r="BW407" s="1184"/>
      <c r="BX407" s="1184"/>
      <c r="BY407" s="1184"/>
      <c r="BZ407" s="208"/>
      <c r="CA407" s="208"/>
      <c r="CB407" s="208"/>
      <c r="CC407" s="208"/>
      <c r="CD407" s="211"/>
    </row>
    <row r="408" ht="18" customHeight="1">
      <c r="A408" s="1284">
        <v>40</v>
      </c>
      <c r="B408" s="1233">
        <v>0</v>
      </c>
      <c r="C408" s="1233">
        <v>0</v>
      </c>
      <c r="D408" s="1233">
        <v>0</v>
      </c>
      <c r="E408" s="1233">
        <v>0</v>
      </c>
      <c r="F408" s="1233">
        <v>0</v>
      </c>
      <c r="G408" s="1233">
        <v>0</v>
      </c>
      <c r="H408" s="1233">
        <v>0</v>
      </c>
      <c r="I408" s="1233">
        <v>0</v>
      </c>
      <c r="J408" s="1233">
        <v>0</v>
      </c>
      <c r="K408" s="1233">
        <f t="shared" si="5797"/>
        <v>0</v>
      </c>
      <c r="L408" s="1233">
        <f t="shared" si="5768"/>
        <v>0</v>
      </c>
      <c r="M408" s="1233">
        <f t="shared" si="5740"/>
        <v>0</v>
      </c>
      <c r="N408" s="1233">
        <f t="shared" si="5713"/>
        <v>0</v>
      </c>
      <c r="O408" s="1233">
        <f t="shared" si="5687"/>
        <v>0</v>
      </c>
      <c r="P408" s="1233">
        <f t="shared" si="5662"/>
        <v>0</v>
      </c>
      <c r="Q408" s="1233">
        <f t="shared" si="5638"/>
        <v>0</v>
      </c>
      <c r="R408" s="1233">
        <f t="shared" si="6074" ref="R408:AG423">$F$300</f>
        <v>0</v>
      </c>
      <c r="S408" s="1233">
        <f t="shared" si="6045"/>
        <v>0</v>
      </c>
      <c r="T408" s="1233">
        <f t="shared" si="6016"/>
        <v>0</v>
      </c>
      <c r="U408" s="1233">
        <f t="shared" si="5987"/>
        <v>0</v>
      </c>
      <c r="V408" s="1233">
        <f t="shared" si="5958"/>
        <v>0</v>
      </c>
      <c r="W408" s="1233">
        <f t="shared" si="5929"/>
        <v>0</v>
      </c>
      <c r="X408" s="1233">
        <f t="shared" si="5900"/>
        <v>0</v>
      </c>
      <c r="Y408" s="1233">
        <f t="shared" si="5871"/>
        <v>0</v>
      </c>
      <c r="Z408" s="1233">
        <f t="shared" si="5842"/>
        <v>0</v>
      </c>
      <c r="AA408" s="1233">
        <f t="shared" si="5813"/>
        <v>0</v>
      </c>
      <c r="AB408" s="1233">
        <f t="shared" si="5784"/>
        <v>0</v>
      </c>
      <c r="AC408" s="1233">
        <f t="shared" si="5756"/>
        <v>0</v>
      </c>
      <c r="AD408" s="1233">
        <f t="shared" si="5729"/>
        <v>0</v>
      </c>
      <c r="AE408" s="1233">
        <f t="shared" si="5703"/>
        <v>0</v>
      </c>
      <c r="AF408" s="1233">
        <f t="shared" si="5678"/>
        <v>0</v>
      </c>
      <c r="AG408" s="1233">
        <f t="shared" si="5654"/>
        <v>0</v>
      </c>
      <c r="AH408" s="1233">
        <f t="shared" si="6090" ref="AH408:AW423">$F$284</f>
        <v>0</v>
      </c>
      <c r="AI408" s="1233">
        <f t="shared" si="6061"/>
        <v>0</v>
      </c>
      <c r="AJ408" s="1233">
        <f t="shared" si="6032"/>
        <v>0</v>
      </c>
      <c r="AK408" s="1233">
        <f t="shared" si="6003"/>
        <v>0</v>
      </c>
      <c r="AL408" s="1233">
        <f t="shared" si="5974"/>
        <v>0</v>
      </c>
      <c r="AM408" s="1233">
        <f t="shared" si="5945"/>
        <v>0</v>
      </c>
      <c r="AN408" s="1233">
        <f t="shared" si="5916"/>
        <v>0</v>
      </c>
      <c r="AO408" s="1221">
        <v>0</v>
      </c>
      <c r="AP408" s="1221">
        <v>0</v>
      </c>
      <c r="AQ408" s="1221">
        <v>0</v>
      </c>
      <c r="AR408" s="1221">
        <v>0</v>
      </c>
      <c r="AS408" s="1221">
        <v>0</v>
      </c>
      <c r="AT408" s="1221">
        <v>0</v>
      </c>
      <c r="AU408" s="1221">
        <v>0</v>
      </c>
      <c r="AV408" s="1221">
        <v>0</v>
      </c>
      <c r="AW408" s="1221">
        <v>0</v>
      </c>
      <c r="AX408" s="1221">
        <v>0</v>
      </c>
      <c r="AY408" s="1221">
        <v>0</v>
      </c>
      <c r="AZ408" s="1221">
        <v>0</v>
      </c>
      <c r="BA408" s="1221">
        <v>0</v>
      </c>
      <c r="BB408" s="1217"/>
      <c r="BC408" s="1217"/>
      <c r="BD408" s="1217"/>
      <c r="BE408" s="1217"/>
      <c r="BF408" s="1217"/>
      <c r="BG408" s="1217"/>
      <c r="BH408" s="1184"/>
      <c r="BI408" s="1184"/>
      <c r="BJ408" s="1184"/>
      <c r="BK408" s="1184"/>
      <c r="BL408" s="208"/>
      <c r="BM408" s="1184"/>
      <c r="BN408" s="1184"/>
      <c r="BO408" s="1184"/>
      <c r="BP408" s="1184"/>
      <c r="BQ408" s="1184"/>
      <c r="BR408" s="1184"/>
      <c r="BS408" s="1184"/>
      <c r="BT408" s="1184"/>
      <c r="BU408" s="1184"/>
      <c r="BV408" s="1184"/>
      <c r="BW408" s="1184"/>
      <c r="BX408" s="1184"/>
      <c r="BY408" s="1184"/>
      <c r="BZ408" s="208"/>
      <c r="CA408" s="208"/>
      <c r="CB408" s="208"/>
      <c r="CC408" s="208"/>
      <c r="CD408" s="211"/>
    </row>
    <row r="409" ht="18" customHeight="1">
      <c r="A409" s="1284">
        <v>41</v>
      </c>
      <c r="B409" s="1233">
        <v>0</v>
      </c>
      <c r="C409" s="1233">
        <v>0</v>
      </c>
      <c r="D409" s="1233">
        <v>0</v>
      </c>
      <c r="E409" s="1233">
        <v>0</v>
      </c>
      <c r="F409" s="1233">
        <v>0</v>
      </c>
      <c r="G409" s="1233">
        <v>0</v>
      </c>
      <c r="H409" s="1233">
        <v>0</v>
      </c>
      <c r="I409" s="1233">
        <v>0</v>
      </c>
      <c r="J409" s="1233">
        <v>0</v>
      </c>
      <c r="K409" s="1233">
        <v>0</v>
      </c>
      <c r="L409" s="1233">
        <f t="shared" si="5797"/>
        <v>0</v>
      </c>
      <c r="M409" s="1233">
        <f t="shared" si="5768"/>
        <v>0</v>
      </c>
      <c r="N409" s="1233">
        <f t="shared" si="5740"/>
        <v>0</v>
      </c>
      <c r="O409" s="1233">
        <f t="shared" si="5713"/>
        <v>0</v>
      </c>
      <c r="P409" s="1233">
        <f t="shared" si="5687"/>
        <v>0</v>
      </c>
      <c r="Q409" s="1233">
        <f t="shared" si="5662"/>
        <v>0</v>
      </c>
      <c r="R409" s="1233">
        <f t="shared" si="6103" ref="R409:AG424">$F$301</f>
        <v>0</v>
      </c>
      <c r="S409" s="1233">
        <f t="shared" si="6074"/>
        <v>0</v>
      </c>
      <c r="T409" s="1233">
        <f t="shared" si="6045"/>
        <v>0</v>
      </c>
      <c r="U409" s="1233">
        <f t="shared" si="6016"/>
        <v>0</v>
      </c>
      <c r="V409" s="1233">
        <f t="shared" si="5987"/>
        <v>0</v>
      </c>
      <c r="W409" s="1233">
        <f t="shared" si="5958"/>
        <v>0</v>
      </c>
      <c r="X409" s="1233">
        <f t="shared" si="5929"/>
        <v>0</v>
      </c>
      <c r="Y409" s="1233">
        <f t="shared" si="5900"/>
        <v>0</v>
      </c>
      <c r="Z409" s="1233">
        <f t="shared" si="5871"/>
        <v>0</v>
      </c>
      <c r="AA409" s="1233">
        <f t="shared" si="5842"/>
        <v>0</v>
      </c>
      <c r="AB409" s="1233">
        <f t="shared" si="5813"/>
        <v>0</v>
      </c>
      <c r="AC409" s="1233">
        <f t="shared" si="5784"/>
        <v>0</v>
      </c>
      <c r="AD409" s="1233">
        <f t="shared" si="5756"/>
        <v>0</v>
      </c>
      <c r="AE409" s="1233">
        <f t="shared" si="5729"/>
        <v>0</v>
      </c>
      <c r="AF409" s="1233">
        <f t="shared" si="5703"/>
        <v>0</v>
      </c>
      <c r="AG409" s="1233">
        <f t="shared" si="5678"/>
        <v>0</v>
      </c>
      <c r="AH409" s="1233">
        <f t="shared" si="6119" ref="AH409:AW424">$F$285</f>
        <v>0</v>
      </c>
      <c r="AI409" s="1233">
        <f t="shared" si="6090"/>
        <v>0</v>
      </c>
      <c r="AJ409" s="1233">
        <f t="shared" si="6061"/>
        <v>0</v>
      </c>
      <c r="AK409" s="1233">
        <f t="shared" si="6032"/>
        <v>0</v>
      </c>
      <c r="AL409" s="1233">
        <f t="shared" si="6003"/>
        <v>0</v>
      </c>
      <c r="AM409" s="1233">
        <f t="shared" si="5974"/>
        <v>0</v>
      </c>
      <c r="AN409" s="1233">
        <f t="shared" si="5945"/>
        <v>0</v>
      </c>
      <c r="AO409" s="1233">
        <f t="shared" si="5916"/>
        <v>0</v>
      </c>
      <c r="AP409" s="1221">
        <v>0</v>
      </c>
      <c r="AQ409" s="1221">
        <v>0</v>
      </c>
      <c r="AR409" s="1221">
        <v>0</v>
      </c>
      <c r="AS409" s="1221">
        <v>0</v>
      </c>
      <c r="AT409" s="1221">
        <v>0</v>
      </c>
      <c r="AU409" s="1221">
        <v>0</v>
      </c>
      <c r="AV409" s="1221">
        <v>0</v>
      </c>
      <c r="AW409" s="1221">
        <v>0</v>
      </c>
      <c r="AX409" s="1221">
        <v>0</v>
      </c>
      <c r="AY409" s="1221">
        <v>0</v>
      </c>
      <c r="AZ409" s="1221">
        <v>0</v>
      </c>
      <c r="BA409" s="1221">
        <v>0</v>
      </c>
      <c r="BB409" s="1217"/>
      <c r="BC409" s="1217"/>
      <c r="BD409" s="1217"/>
      <c r="BE409" s="1217"/>
      <c r="BF409" s="1217"/>
      <c r="BG409" s="1217"/>
      <c r="BH409" s="1217"/>
      <c r="BI409" s="1184"/>
      <c r="BJ409" s="1184"/>
      <c r="BK409" s="1184"/>
      <c r="BL409" s="208"/>
      <c r="BM409" s="1184"/>
      <c r="BN409" s="1184"/>
      <c r="BO409" s="1184"/>
      <c r="BP409" s="1184"/>
      <c r="BQ409" s="1184"/>
      <c r="BR409" s="1184"/>
      <c r="BS409" s="1184"/>
      <c r="BT409" s="1184"/>
      <c r="BU409" s="1184"/>
      <c r="BV409" s="1184"/>
      <c r="BW409" s="1184"/>
      <c r="BX409" s="1184"/>
      <c r="BY409" s="1184"/>
      <c r="BZ409" s="208"/>
      <c r="CA409" s="208"/>
      <c r="CB409" s="208"/>
      <c r="CC409" s="208"/>
      <c r="CD409" s="211"/>
    </row>
    <row r="410" ht="18" customHeight="1">
      <c r="A410" s="1284">
        <v>42</v>
      </c>
      <c r="B410" s="1233">
        <v>0</v>
      </c>
      <c r="C410" s="1233">
        <v>0</v>
      </c>
      <c r="D410" s="1233">
        <v>0</v>
      </c>
      <c r="E410" s="1233">
        <v>0</v>
      </c>
      <c r="F410" s="1233">
        <v>0</v>
      </c>
      <c r="G410" s="1233">
        <v>0</v>
      </c>
      <c r="H410" s="1233">
        <v>0</v>
      </c>
      <c r="I410" s="1233">
        <v>0</v>
      </c>
      <c r="J410" s="1233">
        <v>0</v>
      </c>
      <c r="K410" s="1233">
        <v>0</v>
      </c>
      <c r="L410" s="1233">
        <v>0</v>
      </c>
      <c r="M410" s="1233">
        <f t="shared" si="5797"/>
        <v>0</v>
      </c>
      <c r="N410" s="1233">
        <f t="shared" si="5768"/>
        <v>0</v>
      </c>
      <c r="O410" s="1233">
        <f t="shared" si="5740"/>
        <v>0</v>
      </c>
      <c r="P410" s="1233">
        <f t="shared" si="5713"/>
        <v>0</v>
      </c>
      <c r="Q410" s="1233">
        <f t="shared" si="5687"/>
        <v>0</v>
      </c>
      <c r="R410" s="1233">
        <f t="shared" si="6132" ref="R410:AG425">$F$302</f>
        <v>0</v>
      </c>
      <c r="S410" s="1233">
        <f t="shared" si="6103"/>
        <v>0</v>
      </c>
      <c r="T410" s="1233">
        <f t="shared" si="6074"/>
        <v>0</v>
      </c>
      <c r="U410" s="1233">
        <f t="shared" si="6045"/>
        <v>0</v>
      </c>
      <c r="V410" s="1233">
        <f t="shared" si="6016"/>
        <v>0</v>
      </c>
      <c r="W410" s="1233">
        <f t="shared" si="5987"/>
        <v>0</v>
      </c>
      <c r="X410" s="1233">
        <f t="shared" si="5958"/>
        <v>0</v>
      </c>
      <c r="Y410" s="1233">
        <f t="shared" si="5929"/>
        <v>0</v>
      </c>
      <c r="Z410" s="1233">
        <f t="shared" si="5900"/>
        <v>0</v>
      </c>
      <c r="AA410" s="1233">
        <f t="shared" si="5871"/>
        <v>0</v>
      </c>
      <c r="AB410" s="1233">
        <f t="shared" si="5842"/>
        <v>0</v>
      </c>
      <c r="AC410" s="1233">
        <f t="shared" si="5813"/>
        <v>0</v>
      </c>
      <c r="AD410" s="1233">
        <f t="shared" si="5784"/>
        <v>0</v>
      </c>
      <c r="AE410" s="1233">
        <f t="shared" si="5756"/>
        <v>0</v>
      </c>
      <c r="AF410" s="1233">
        <f t="shared" si="5729"/>
        <v>0</v>
      </c>
      <c r="AG410" s="1233">
        <f t="shared" si="5703"/>
        <v>0</v>
      </c>
      <c r="AH410" s="1233">
        <f t="shared" si="6148" ref="AH410:AW425">$F$286</f>
        <v>0</v>
      </c>
      <c r="AI410" s="1233">
        <f t="shared" si="6119"/>
        <v>0</v>
      </c>
      <c r="AJ410" s="1233">
        <f t="shared" si="6090"/>
        <v>0</v>
      </c>
      <c r="AK410" s="1233">
        <f t="shared" si="6061"/>
        <v>0</v>
      </c>
      <c r="AL410" s="1233">
        <f t="shared" si="6032"/>
        <v>0</v>
      </c>
      <c r="AM410" s="1233">
        <f t="shared" si="6003"/>
        <v>0</v>
      </c>
      <c r="AN410" s="1233">
        <f t="shared" si="5974"/>
        <v>0</v>
      </c>
      <c r="AO410" s="1233">
        <f t="shared" si="5945"/>
        <v>0</v>
      </c>
      <c r="AP410" s="1233">
        <f t="shared" si="5916"/>
        <v>0</v>
      </c>
      <c r="AQ410" s="1221">
        <v>0</v>
      </c>
      <c r="AR410" s="1221">
        <v>0</v>
      </c>
      <c r="AS410" s="1221">
        <v>0</v>
      </c>
      <c r="AT410" s="1221">
        <v>0</v>
      </c>
      <c r="AU410" s="1221">
        <v>0</v>
      </c>
      <c r="AV410" s="1221">
        <v>0</v>
      </c>
      <c r="AW410" s="1221">
        <v>0</v>
      </c>
      <c r="AX410" s="1221">
        <v>0</v>
      </c>
      <c r="AY410" s="1221">
        <v>0</v>
      </c>
      <c r="AZ410" s="1221">
        <v>0</v>
      </c>
      <c r="BA410" s="1221">
        <v>0</v>
      </c>
      <c r="BB410" s="1217"/>
      <c r="BC410" s="1217"/>
      <c r="BD410" s="1217"/>
      <c r="BE410" s="1217"/>
      <c r="BF410" s="1217"/>
      <c r="BG410" s="1217"/>
      <c r="BH410" s="1217"/>
      <c r="BI410" s="1217"/>
      <c r="BJ410" s="1184"/>
      <c r="BK410" s="1184"/>
      <c r="BL410" s="208"/>
      <c r="BM410" s="1184"/>
      <c r="BN410" s="1184"/>
      <c r="BO410" s="1184"/>
      <c r="BP410" s="1184"/>
      <c r="BQ410" s="1184"/>
      <c r="BR410" s="1184"/>
      <c r="BS410" s="1184"/>
      <c r="BT410" s="1184"/>
      <c r="BU410" s="1184"/>
      <c r="BV410" s="1184"/>
      <c r="BW410" s="1184"/>
      <c r="BX410" s="1184"/>
      <c r="BY410" s="1184"/>
      <c r="BZ410" s="208"/>
      <c r="CA410" s="208"/>
      <c r="CB410" s="208"/>
      <c r="CC410" s="208"/>
      <c r="CD410" s="211"/>
    </row>
    <row r="411" ht="18" customHeight="1">
      <c r="A411" s="1284">
        <v>43</v>
      </c>
      <c r="B411" s="1233">
        <v>0</v>
      </c>
      <c r="C411" s="1233">
        <v>0</v>
      </c>
      <c r="D411" s="1233">
        <v>0</v>
      </c>
      <c r="E411" s="1233">
        <v>0</v>
      </c>
      <c r="F411" s="1233">
        <v>0</v>
      </c>
      <c r="G411" s="1233">
        <v>0</v>
      </c>
      <c r="H411" s="1233">
        <v>0</v>
      </c>
      <c r="I411" s="1233">
        <v>0</v>
      </c>
      <c r="J411" s="1233">
        <v>0</v>
      </c>
      <c r="K411" s="1233">
        <v>0</v>
      </c>
      <c r="L411" s="1233">
        <v>0</v>
      </c>
      <c r="M411" s="1233">
        <v>0</v>
      </c>
      <c r="N411" s="1233">
        <f t="shared" si="5797"/>
        <v>0</v>
      </c>
      <c r="O411" s="1233">
        <f t="shared" si="5768"/>
        <v>0</v>
      </c>
      <c r="P411" s="1233">
        <f t="shared" si="5740"/>
        <v>0</v>
      </c>
      <c r="Q411" s="1233">
        <f t="shared" si="5713"/>
        <v>0</v>
      </c>
      <c r="R411" s="1233">
        <f t="shared" si="6161" ref="R411:AG426">$F$303</f>
        <v>0</v>
      </c>
      <c r="S411" s="1233">
        <f t="shared" si="6132"/>
        <v>0</v>
      </c>
      <c r="T411" s="1233">
        <f t="shared" si="6103"/>
        <v>0</v>
      </c>
      <c r="U411" s="1233">
        <f t="shared" si="6074"/>
        <v>0</v>
      </c>
      <c r="V411" s="1233">
        <f t="shared" si="6045"/>
        <v>0</v>
      </c>
      <c r="W411" s="1233">
        <f t="shared" si="6016"/>
        <v>0</v>
      </c>
      <c r="X411" s="1233">
        <f t="shared" si="5987"/>
        <v>0</v>
      </c>
      <c r="Y411" s="1233">
        <f t="shared" si="5958"/>
        <v>0</v>
      </c>
      <c r="Z411" s="1233">
        <f t="shared" si="5929"/>
        <v>0</v>
      </c>
      <c r="AA411" s="1233">
        <f t="shared" si="5900"/>
        <v>0</v>
      </c>
      <c r="AB411" s="1233">
        <f t="shared" si="5871"/>
        <v>0</v>
      </c>
      <c r="AC411" s="1233">
        <f t="shared" si="5842"/>
        <v>0</v>
      </c>
      <c r="AD411" s="1233">
        <f t="shared" si="5813"/>
        <v>0</v>
      </c>
      <c r="AE411" s="1233">
        <f t="shared" si="5784"/>
        <v>0</v>
      </c>
      <c r="AF411" s="1233">
        <f t="shared" si="5756"/>
        <v>0</v>
      </c>
      <c r="AG411" s="1233">
        <f t="shared" si="5729"/>
        <v>0</v>
      </c>
      <c r="AH411" s="1233">
        <f t="shared" si="6177" ref="AH411:AW426">$F$287</f>
        <v>0</v>
      </c>
      <c r="AI411" s="1233">
        <f t="shared" si="6148"/>
        <v>0</v>
      </c>
      <c r="AJ411" s="1233">
        <f t="shared" si="6119"/>
        <v>0</v>
      </c>
      <c r="AK411" s="1233">
        <f t="shared" si="6090"/>
        <v>0</v>
      </c>
      <c r="AL411" s="1233">
        <f t="shared" si="6061"/>
        <v>0</v>
      </c>
      <c r="AM411" s="1233">
        <f t="shared" si="6032"/>
        <v>0</v>
      </c>
      <c r="AN411" s="1233">
        <f t="shared" si="6003"/>
        <v>0</v>
      </c>
      <c r="AO411" s="1233">
        <f t="shared" si="5974"/>
        <v>0</v>
      </c>
      <c r="AP411" s="1233">
        <f t="shared" si="5945"/>
        <v>0</v>
      </c>
      <c r="AQ411" s="1233">
        <f t="shared" si="5916"/>
        <v>0</v>
      </c>
      <c r="AR411" s="1221">
        <v>0</v>
      </c>
      <c r="AS411" s="1221">
        <v>0</v>
      </c>
      <c r="AT411" s="1221">
        <v>0</v>
      </c>
      <c r="AU411" s="1221">
        <v>0</v>
      </c>
      <c r="AV411" s="1221">
        <v>0</v>
      </c>
      <c r="AW411" s="1221">
        <v>0</v>
      </c>
      <c r="AX411" s="1221">
        <v>0</v>
      </c>
      <c r="AY411" s="1221">
        <v>0</v>
      </c>
      <c r="AZ411" s="1221">
        <v>0</v>
      </c>
      <c r="BA411" s="1221">
        <v>0</v>
      </c>
      <c r="BB411" s="1217"/>
      <c r="BC411" s="1217"/>
      <c r="BD411" s="1217"/>
      <c r="BE411" s="1217"/>
      <c r="BF411" s="1217"/>
      <c r="BG411" s="1217"/>
      <c r="BH411" s="1217"/>
      <c r="BI411" s="1217"/>
      <c r="BJ411" s="1217"/>
      <c r="BK411" s="1184"/>
      <c r="BL411" s="208"/>
      <c r="BM411" s="1184"/>
      <c r="BN411" s="1184"/>
      <c r="BO411" s="1184"/>
      <c r="BP411" s="1184"/>
      <c r="BQ411" s="1184"/>
      <c r="BR411" s="1184"/>
      <c r="BS411" s="1184"/>
      <c r="BT411" s="1184"/>
      <c r="BU411" s="1184"/>
      <c r="BV411" s="1184"/>
      <c r="BW411" s="1184"/>
      <c r="BX411" s="1184"/>
      <c r="BY411" s="1184"/>
      <c r="BZ411" s="208"/>
      <c r="CA411" s="208"/>
      <c r="CB411" s="208"/>
      <c r="CC411" s="208"/>
      <c r="CD411" s="211"/>
    </row>
    <row r="412" ht="18" customHeight="1">
      <c r="A412" s="1284">
        <v>44</v>
      </c>
      <c r="B412" s="1233">
        <v>0</v>
      </c>
      <c r="C412" s="1233">
        <v>0</v>
      </c>
      <c r="D412" s="1233">
        <v>0</v>
      </c>
      <c r="E412" s="1233">
        <v>0</v>
      </c>
      <c r="F412" s="1233">
        <v>0</v>
      </c>
      <c r="G412" s="1233">
        <v>0</v>
      </c>
      <c r="H412" s="1233">
        <v>0</v>
      </c>
      <c r="I412" s="1233">
        <v>0</v>
      </c>
      <c r="J412" s="1233">
        <v>0</v>
      </c>
      <c r="K412" s="1233">
        <v>0</v>
      </c>
      <c r="L412" s="1233">
        <v>0</v>
      </c>
      <c r="M412" s="1233">
        <v>0</v>
      </c>
      <c r="N412" s="1233">
        <v>0</v>
      </c>
      <c r="O412" s="1233">
        <f t="shared" si="5797"/>
        <v>0</v>
      </c>
      <c r="P412" s="1233">
        <f t="shared" si="5768"/>
        <v>0</v>
      </c>
      <c r="Q412" s="1233">
        <f t="shared" si="5740"/>
        <v>0</v>
      </c>
      <c r="R412" s="1233">
        <f t="shared" si="6190" ref="R412:AG427">$F$304</f>
        <v>0</v>
      </c>
      <c r="S412" s="1233">
        <f t="shared" si="6161"/>
        <v>0</v>
      </c>
      <c r="T412" s="1233">
        <f t="shared" si="6132"/>
        <v>0</v>
      </c>
      <c r="U412" s="1233">
        <f t="shared" si="6103"/>
        <v>0</v>
      </c>
      <c r="V412" s="1233">
        <f t="shared" si="6074"/>
        <v>0</v>
      </c>
      <c r="W412" s="1233">
        <f t="shared" si="6045"/>
        <v>0</v>
      </c>
      <c r="X412" s="1233">
        <f t="shared" si="6016"/>
        <v>0</v>
      </c>
      <c r="Y412" s="1233">
        <f t="shared" si="5987"/>
        <v>0</v>
      </c>
      <c r="Z412" s="1233">
        <f t="shared" si="5958"/>
        <v>0</v>
      </c>
      <c r="AA412" s="1233">
        <f t="shared" si="5929"/>
        <v>0</v>
      </c>
      <c r="AB412" s="1233">
        <f t="shared" si="5900"/>
        <v>0</v>
      </c>
      <c r="AC412" s="1233">
        <f t="shared" si="5871"/>
        <v>0</v>
      </c>
      <c r="AD412" s="1233">
        <f t="shared" si="5842"/>
        <v>0</v>
      </c>
      <c r="AE412" s="1233">
        <f t="shared" si="5813"/>
        <v>0</v>
      </c>
      <c r="AF412" s="1233">
        <f t="shared" si="5784"/>
        <v>0</v>
      </c>
      <c r="AG412" s="1233">
        <f t="shared" si="5756"/>
        <v>0</v>
      </c>
      <c r="AH412" s="1233">
        <f t="shared" si="6206" ref="AH412:AW427">$F$288</f>
        <v>0</v>
      </c>
      <c r="AI412" s="1233">
        <f t="shared" si="6177"/>
        <v>0</v>
      </c>
      <c r="AJ412" s="1233">
        <f t="shared" si="6148"/>
        <v>0</v>
      </c>
      <c r="AK412" s="1233">
        <f t="shared" si="6119"/>
        <v>0</v>
      </c>
      <c r="AL412" s="1233">
        <f t="shared" si="6090"/>
        <v>0</v>
      </c>
      <c r="AM412" s="1233">
        <f t="shared" si="6061"/>
        <v>0</v>
      </c>
      <c r="AN412" s="1233">
        <f t="shared" si="6032"/>
        <v>0</v>
      </c>
      <c r="AO412" s="1233">
        <f t="shared" si="6003"/>
        <v>0</v>
      </c>
      <c r="AP412" s="1233">
        <f t="shared" si="5974"/>
        <v>0</v>
      </c>
      <c r="AQ412" s="1233">
        <f t="shared" si="5945"/>
        <v>0</v>
      </c>
      <c r="AR412" s="1233">
        <f t="shared" si="5916"/>
        <v>0</v>
      </c>
      <c r="AS412" s="1221">
        <v>0</v>
      </c>
      <c r="AT412" s="1221">
        <v>0</v>
      </c>
      <c r="AU412" s="1221">
        <v>0</v>
      </c>
      <c r="AV412" s="1221">
        <v>0</v>
      </c>
      <c r="AW412" s="1221">
        <v>0</v>
      </c>
      <c r="AX412" s="1221">
        <v>0</v>
      </c>
      <c r="AY412" s="1221">
        <v>0</v>
      </c>
      <c r="AZ412" s="1221">
        <v>0</v>
      </c>
      <c r="BA412" s="1221">
        <v>0</v>
      </c>
      <c r="BB412" s="1217"/>
      <c r="BC412" s="1217"/>
      <c r="BD412" s="1217"/>
      <c r="BE412" s="1217"/>
      <c r="BF412" s="1217"/>
      <c r="BG412" s="1217"/>
      <c r="BH412" s="1217"/>
      <c r="BI412" s="1217"/>
      <c r="BJ412" s="1217"/>
      <c r="BK412" s="1217"/>
      <c r="BL412" s="208"/>
      <c r="BM412" s="1184"/>
      <c r="BN412" s="1184"/>
      <c r="BO412" s="1184"/>
      <c r="BP412" s="1184"/>
      <c r="BQ412" s="1184"/>
      <c r="BR412" s="1184"/>
      <c r="BS412" s="1184"/>
      <c r="BT412" s="1184"/>
      <c r="BU412" s="1184"/>
      <c r="BV412" s="1184"/>
      <c r="BW412" s="1184"/>
      <c r="BX412" s="1184"/>
      <c r="BY412" s="1184"/>
      <c r="BZ412" s="208"/>
      <c r="CA412" s="208"/>
      <c r="CB412" s="208"/>
      <c r="CC412" s="208"/>
      <c r="CD412" s="211"/>
    </row>
    <row r="413" ht="18" customHeight="1">
      <c r="A413" s="1284">
        <v>45</v>
      </c>
      <c r="B413" s="1233">
        <v>0</v>
      </c>
      <c r="C413" s="1233">
        <v>0</v>
      </c>
      <c r="D413" s="1233">
        <v>0</v>
      </c>
      <c r="E413" s="1233">
        <v>0</v>
      </c>
      <c r="F413" s="1233">
        <v>0</v>
      </c>
      <c r="G413" s="1233">
        <v>0</v>
      </c>
      <c r="H413" s="1233">
        <v>0</v>
      </c>
      <c r="I413" s="1233">
        <v>0</v>
      </c>
      <c r="J413" s="1233">
        <v>0</v>
      </c>
      <c r="K413" s="1233">
        <v>0</v>
      </c>
      <c r="L413" s="1233">
        <v>0</v>
      </c>
      <c r="M413" s="1233">
        <v>0</v>
      </c>
      <c r="N413" s="1233">
        <v>0</v>
      </c>
      <c r="O413" s="1233">
        <v>0</v>
      </c>
      <c r="P413" s="1233">
        <f t="shared" si="5797"/>
        <v>0</v>
      </c>
      <c r="Q413" s="1233">
        <f t="shared" si="5768"/>
        <v>0</v>
      </c>
      <c r="R413" s="1233">
        <f t="shared" si="6219" ref="R413:AG428">$F$305</f>
        <v>0</v>
      </c>
      <c r="S413" s="1233">
        <f t="shared" si="6190"/>
        <v>0</v>
      </c>
      <c r="T413" s="1233">
        <f t="shared" si="6161"/>
        <v>0</v>
      </c>
      <c r="U413" s="1233">
        <f t="shared" si="6132"/>
        <v>0</v>
      </c>
      <c r="V413" s="1233">
        <f t="shared" si="6103"/>
        <v>0</v>
      </c>
      <c r="W413" s="1233">
        <f t="shared" si="6074"/>
        <v>0</v>
      </c>
      <c r="X413" s="1233">
        <f t="shared" si="6045"/>
        <v>0</v>
      </c>
      <c r="Y413" s="1233">
        <f t="shared" si="6016"/>
        <v>0</v>
      </c>
      <c r="Z413" s="1233">
        <f t="shared" si="5987"/>
        <v>0</v>
      </c>
      <c r="AA413" s="1233">
        <f t="shared" si="5958"/>
        <v>0</v>
      </c>
      <c r="AB413" s="1233">
        <f t="shared" si="5929"/>
        <v>0</v>
      </c>
      <c r="AC413" s="1233">
        <f t="shared" si="5900"/>
        <v>0</v>
      </c>
      <c r="AD413" s="1233">
        <f t="shared" si="5871"/>
        <v>0</v>
      </c>
      <c r="AE413" s="1233">
        <f t="shared" si="5842"/>
        <v>0</v>
      </c>
      <c r="AF413" s="1233">
        <f t="shared" si="5813"/>
        <v>0</v>
      </c>
      <c r="AG413" s="1233">
        <f t="shared" si="5784"/>
        <v>0</v>
      </c>
      <c r="AH413" s="1233">
        <f t="shared" si="6235" ref="AH413:AW428">$F$289</f>
        <v>0</v>
      </c>
      <c r="AI413" s="1233">
        <f t="shared" si="6206"/>
        <v>0</v>
      </c>
      <c r="AJ413" s="1233">
        <f t="shared" si="6177"/>
        <v>0</v>
      </c>
      <c r="AK413" s="1233">
        <f t="shared" si="6148"/>
        <v>0</v>
      </c>
      <c r="AL413" s="1233">
        <f t="shared" si="6119"/>
        <v>0</v>
      </c>
      <c r="AM413" s="1233">
        <f t="shared" si="6090"/>
        <v>0</v>
      </c>
      <c r="AN413" s="1233">
        <f t="shared" si="6061"/>
        <v>0</v>
      </c>
      <c r="AO413" s="1233">
        <f t="shared" si="6032"/>
        <v>0</v>
      </c>
      <c r="AP413" s="1233">
        <f t="shared" si="6003"/>
        <v>0</v>
      </c>
      <c r="AQ413" s="1233">
        <f t="shared" si="5974"/>
        <v>0</v>
      </c>
      <c r="AR413" s="1233">
        <f t="shared" si="5945"/>
        <v>0</v>
      </c>
      <c r="AS413" s="1233">
        <f t="shared" si="5916"/>
        <v>0</v>
      </c>
      <c r="AT413" s="1221">
        <v>0</v>
      </c>
      <c r="AU413" s="1221">
        <v>0</v>
      </c>
      <c r="AV413" s="1221">
        <v>0</v>
      </c>
      <c r="AW413" s="1221">
        <v>0</v>
      </c>
      <c r="AX413" s="1221">
        <v>0</v>
      </c>
      <c r="AY413" s="1221">
        <v>0</v>
      </c>
      <c r="AZ413" s="1221">
        <v>0</v>
      </c>
      <c r="BA413" s="1221">
        <v>0</v>
      </c>
      <c r="BB413" s="1217"/>
      <c r="BC413" s="1217"/>
      <c r="BD413" s="1217"/>
      <c r="BE413" s="1217"/>
      <c r="BF413" s="1217"/>
      <c r="BG413" s="1217"/>
      <c r="BH413" s="1217"/>
      <c r="BI413" s="1217"/>
      <c r="BJ413" s="1217"/>
      <c r="BK413" s="1217"/>
      <c r="BL413" s="1217"/>
      <c r="BM413" s="1184"/>
      <c r="BN413" s="1184"/>
      <c r="BO413" s="1184"/>
      <c r="BP413" s="1184"/>
      <c r="BQ413" s="1184"/>
      <c r="BR413" s="1184"/>
      <c r="BS413" s="1184"/>
      <c r="BT413" s="1184"/>
      <c r="BU413" s="1184"/>
      <c r="BV413" s="1184"/>
      <c r="BW413" s="1184"/>
      <c r="BX413" s="1184"/>
      <c r="BY413" s="1184"/>
      <c r="BZ413" s="208"/>
      <c r="CA413" s="208"/>
      <c r="CB413" s="208"/>
      <c r="CC413" s="208"/>
      <c r="CD413" s="211"/>
    </row>
    <row r="414" ht="18" customHeight="1">
      <c r="A414" s="1284">
        <v>46</v>
      </c>
      <c r="B414" s="1233">
        <v>0</v>
      </c>
      <c r="C414" s="1233">
        <v>0</v>
      </c>
      <c r="D414" s="1233">
        <v>0</v>
      </c>
      <c r="E414" s="1233">
        <v>0</v>
      </c>
      <c r="F414" s="1233">
        <v>0</v>
      </c>
      <c r="G414" s="1233">
        <v>0</v>
      </c>
      <c r="H414" s="1233">
        <v>0</v>
      </c>
      <c r="I414" s="1233">
        <v>0</v>
      </c>
      <c r="J414" s="1233">
        <v>0</v>
      </c>
      <c r="K414" s="1233">
        <v>0</v>
      </c>
      <c r="L414" s="1233">
        <v>0</v>
      </c>
      <c r="M414" s="1233">
        <v>0</v>
      </c>
      <c r="N414" s="1233">
        <v>0</v>
      </c>
      <c r="O414" s="1233">
        <v>0</v>
      </c>
      <c r="P414" s="1233">
        <v>0</v>
      </c>
      <c r="Q414" s="1233">
        <f t="shared" si="5797"/>
        <v>0</v>
      </c>
      <c r="R414" s="1233">
        <f t="shared" si="6248" ref="R414:AG429">$F$306</f>
        <v>0</v>
      </c>
      <c r="S414" s="1233">
        <f t="shared" si="6219"/>
        <v>0</v>
      </c>
      <c r="T414" s="1233">
        <f t="shared" si="6190"/>
        <v>0</v>
      </c>
      <c r="U414" s="1233">
        <f t="shared" si="6161"/>
        <v>0</v>
      </c>
      <c r="V414" s="1233">
        <f t="shared" si="6132"/>
        <v>0</v>
      </c>
      <c r="W414" s="1233">
        <f t="shared" si="6103"/>
        <v>0</v>
      </c>
      <c r="X414" s="1233">
        <f t="shared" si="6074"/>
        <v>0</v>
      </c>
      <c r="Y414" s="1233">
        <f t="shared" si="6045"/>
        <v>0</v>
      </c>
      <c r="Z414" s="1233">
        <f t="shared" si="6016"/>
        <v>0</v>
      </c>
      <c r="AA414" s="1233">
        <f t="shared" si="5987"/>
        <v>0</v>
      </c>
      <c r="AB414" s="1233">
        <f t="shared" si="5958"/>
        <v>0</v>
      </c>
      <c r="AC414" s="1233">
        <f t="shared" si="5929"/>
        <v>0</v>
      </c>
      <c r="AD414" s="1233">
        <f t="shared" si="5900"/>
        <v>0</v>
      </c>
      <c r="AE414" s="1233">
        <f t="shared" si="5871"/>
        <v>0</v>
      </c>
      <c r="AF414" s="1233">
        <f t="shared" si="5842"/>
        <v>0</v>
      </c>
      <c r="AG414" s="1233">
        <f t="shared" si="5813"/>
        <v>0</v>
      </c>
      <c r="AH414" s="1233">
        <f t="shared" si="6264" ref="AH414:AW429">$F$290</f>
        <v>0</v>
      </c>
      <c r="AI414" s="1233">
        <f t="shared" si="6235"/>
        <v>0</v>
      </c>
      <c r="AJ414" s="1233">
        <f t="shared" si="6206"/>
        <v>0</v>
      </c>
      <c r="AK414" s="1233">
        <f t="shared" si="6177"/>
        <v>0</v>
      </c>
      <c r="AL414" s="1233">
        <f t="shared" si="6148"/>
        <v>0</v>
      </c>
      <c r="AM414" s="1233">
        <f t="shared" si="6119"/>
        <v>0</v>
      </c>
      <c r="AN414" s="1233">
        <f t="shared" si="6090"/>
        <v>0</v>
      </c>
      <c r="AO414" s="1233">
        <f t="shared" si="6061"/>
        <v>0</v>
      </c>
      <c r="AP414" s="1233">
        <f t="shared" si="6032"/>
        <v>0</v>
      </c>
      <c r="AQ414" s="1233">
        <f t="shared" si="6003"/>
        <v>0</v>
      </c>
      <c r="AR414" s="1233">
        <f t="shared" si="5974"/>
        <v>0</v>
      </c>
      <c r="AS414" s="1233">
        <f t="shared" si="5945"/>
        <v>0</v>
      </c>
      <c r="AT414" s="1233">
        <f t="shared" si="5916"/>
        <v>0</v>
      </c>
      <c r="AU414" s="1221">
        <v>0</v>
      </c>
      <c r="AV414" s="1221">
        <v>0</v>
      </c>
      <c r="AW414" s="1221">
        <v>0</v>
      </c>
      <c r="AX414" s="1233">
        <v>0</v>
      </c>
      <c r="AY414" s="1221">
        <v>0</v>
      </c>
      <c r="AZ414" s="1221">
        <v>0</v>
      </c>
      <c r="BA414" s="1221">
        <v>0</v>
      </c>
      <c r="BB414" s="1217"/>
      <c r="BC414" s="1217"/>
      <c r="BD414" s="1217"/>
      <c r="BE414" s="1217"/>
      <c r="BF414" s="1217"/>
      <c r="BG414" s="1217"/>
      <c r="BH414" s="1217"/>
      <c r="BI414" s="1217"/>
      <c r="BJ414" s="1217"/>
      <c r="BK414" s="1217"/>
      <c r="BL414" s="1217"/>
      <c r="BM414" s="1184"/>
      <c r="BN414" s="1184"/>
      <c r="BO414" s="1184"/>
      <c r="BP414" s="1184"/>
      <c r="BQ414" s="1184"/>
      <c r="BR414" s="1184"/>
      <c r="BS414" s="1184"/>
      <c r="BT414" s="1184"/>
      <c r="BU414" s="1184"/>
      <c r="BV414" s="1184"/>
      <c r="BW414" s="1184"/>
      <c r="BX414" s="1184"/>
      <c r="BY414" s="1184"/>
      <c r="BZ414" s="208"/>
      <c r="CA414" s="208"/>
      <c r="CB414" s="208"/>
      <c r="CC414" s="208"/>
      <c r="CD414" s="211"/>
    </row>
    <row r="415" ht="18" customHeight="1">
      <c r="A415" s="1284">
        <v>47</v>
      </c>
      <c r="B415" s="1233">
        <v>0</v>
      </c>
      <c r="C415" s="1233">
        <v>0</v>
      </c>
      <c r="D415" s="1233">
        <v>0</v>
      </c>
      <c r="E415" s="1233">
        <v>0</v>
      </c>
      <c r="F415" s="1233">
        <v>0</v>
      </c>
      <c r="G415" s="1233">
        <v>0</v>
      </c>
      <c r="H415" s="1233">
        <v>0</v>
      </c>
      <c r="I415" s="1233">
        <v>0</v>
      </c>
      <c r="J415" s="1233">
        <v>0</v>
      </c>
      <c r="K415" s="1233">
        <v>0</v>
      </c>
      <c r="L415" s="1233">
        <v>0</v>
      </c>
      <c r="M415" s="1233">
        <v>0</v>
      </c>
      <c r="N415" s="1233">
        <v>0</v>
      </c>
      <c r="O415" s="1233">
        <v>0</v>
      </c>
      <c r="P415" s="1233">
        <v>0</v>
      </c>
      <c r="Q415" s="1233">
        <v>0</v>
      </c>
      <c r="R415" s="1233">
        <f t="shared" si="6277" ref="R415:AG430">$F$307</f>
        <v>0</v>
      </c>
      <c r="S415" s="1233">
        <f t="shared" si="6248"/>
        <v>0</v>
      </c>
      <c r="T415" s="1233">
        <f t="shared" si="6219"/>
        <v>0</v>
      </c>
      <c r="U415" s="1233">
        <f t="shared" si="6190"/>
        <v>0</v>
      </c>
      <c r="V415" s="1233">
        <f t="shared" si="6161"/>
        <v>0</v>
      </c>
      <c r="W415" s="1233">
        <f t="shared" si="6132"/>
        <v>0</v>
      </c>
      <c r="X415" s="1233">
        <f t="shared" si="6103"/>
        <v>0</v>
      </c>
      <c r="Y415" s="1233">
        <f t="shared" si="6074"/>
        <v>0</v>
      </c>
      <c r="Z415" s="1233">
        <f t="shared" si="6045"/>
        <v>0</v>
      </c>
      <c r="AA415" s="1233">
        <f t="shared" si="6016"/>
        <v>0</v>
      </c>
      <c r="AB415" s="1233">
        <f t="shared" si="5987"/>
        <v>0</v>
      </c>
      <c r="AC415" s="1233">
        <f t="shared" si="5958"/>
        <v>0</v>
      </c>
      <c r="AD415" s="1233">
        <f t="shared" si="5929"/>
        <v>0</v>
      </c>
      <c r="AE415" s="1233">
        <f t="shared" si="5900"/>
        <v>0</v>
      </c>
      <c r="AF415" s="1233">
        <f t="shared" si="5871"/>
        <v>0</v>
      </c>
      <c r="AG415" s="1233">
        <f t="shared" si="5842"/>
        <v>0</v>
      </c>
      <c r="AH415" s="1233">
        <f t="shared" si="6293" ref="AH415:AW430">$F$291</f>
        <v>0</v>
      </c>
      <c r="AI415" s="1233">
        <f t="shared" si="6264"/>
        <v>0</v>
      </c>
      <c r="AJ415" s="1233">
        <f t="shared" si="6235"/>
        <v>0</v>
      </c>
      <c r="AK415" s="1233">
        <f t="shared" si="6206"/>
        <v>0</v>
      </c>
      <c r="AL415" s="1233">
        <f t="shared" si="6177"/>
        <v>0</v>
      </c>
      <c r="AM415" s="1233">
        <f t="shared" si="6148"/>
        <v>0</v>
      </c>
      <c r="AN415" s="1233">
        <f t="shared" si="6119"/>
        <v>0</v>
      </c>
      <c r="AO415" s="1233">
        <f t="shared" si="6090"/>
        <v>0</v>
      </c>
      <c r="AP415" s="1233">
        <f t="shared" si="6061"/>
        <v>0</v>
      </c>
      <c r="AQ415" s="1233">
        <f t="shared" si="6032"/>
        <v>0</v>
      </c>
      <c r="AR415" s="1233">
        <f t="shared" si="6003"/>
        <v>0</v>
      </c>
      <c r="AS415" s="1233">
        <f t="shared" si="5974"/>
        <v>0</v>
      </c>
      <c r="AT415" s="1233">
        <f t="shared" si="5945"/>
        <v>0</v>
      </c>
      <c r="AU415" s="1233">
        <f t="shared" si="5916"/>
        <v>0</v>
      </c>
      <c r="AV415" s="1221">
        <v>0</v>
      </c>
      <c r="AW415" s="1221">
        <v>0</v>
      </c>
      <c r="AX415" s="1233">
        <v>0</v>
      </c>
      <c r="AY415" s="1233">
        <v>0</v>
      </c>
      <c r="AZ415" s="1221">
        <v>0</v>
      </c>
      <c r="BA415" s="1221">
        <v>0</v>
      </c>
      <c r="BB415" s="1217"/>
      <c r="BC415" s="1217"/>
      <c r="BD415" s="1217"/>
      <c r="BE415" s="1217"/>
      <c r="BF415" s="1217"/>
      <c r="BG415" s="1217"/>
      <c r="BH415" s="1217"/>
      <c r="BI415" s="1217"/>
      <c r="BJ415" s="1217"/>
      <c r="BK415" s="1217"/>
      <c r="BL415" s="1217"/>
      <c r="BM415" s="1184"/>
      <c r="BN415" s="1184"/>
      <c r="BO415" s="1184"/>
      <c r="BP415" s="1184"/>
      <c r="BQ415" s="1184"/>
      <c r="BR415" s="1184"/>
      <c r="BS415" s="1184"/>
      <c r="BT415" s="1184"/>
      <c r="BU415" s="1184"/>
      <c r="BV415" s="1184"/>
      <c r="BW415" s="1184"/>
      <c r="BX415" s="1184"/>
      <c r="BY415" s="1184"/>
      <c r="BZ415" s="208"/>
      <c r="CA415" s="208"/>
      <c r="CB415" s="208"/>
      <c r="CC415" s="208"/>
      <c r="CD415" s="211"/>
    </row>
    <row r="416" ht="18" customHeight="1">
      <c r="A416" s="1284">
        <v>48</v>
      </c>
      <c r="B416" s="1233">
        <v>0</v>
      </c>
      <c r="C416" s="1233">
        <v>0</v>
      </c>
      <c r="D416" s="1233">
        <v>0</v>
      </c>
      <c r="E416" s="1233">
        <v>0</v>
      </c>
      <c r="F416" s="1233">
        <v>0</v>
      </c>
      <c r="G416" s="1233">
        <v>0</v>
      </c>
      <c r="H416" s="1233">
        <v>0</v>
      </c>
      <c r="I416" s="1233">
        <v>0</v>
      </c>
      <c r="J416" s="1233">
        <v>0</v>
      </c>
      <c r="K416" s="1233">
        <v>0</v>
      </c>
      <c r="L416" s="1233">
        <v>0</v>
      </c>
      <c r="M416" s="1233">
        <v>0</v>
      </c>
      <c r="N416" s="1233">
        <v>0</v>
      </c>
      <c r="O416" s="1233">
        <v>0</v>
      </c>
      <c r="P416" s="1233">
        <v>0</v>
      </c>
      <c r="Q416" s="1233">
        <v>0</v>
      </c>
      <c r="R416" s="1233">
        <v>0</v>
      </c>
      <c r="S416" s="1233">
        <f t="shared" si="6277"/>
        <v>0</v>
      </c>
      <c r="T416" s="1233">
        <f t="shared" si="6248"/>
        <v>0</v>
      </c>
      <c r="U416" s="1233">
        <f t="shared" si="6219"/>
        <v>0</v>
      </c>
      <c r="V416" s="1233">
        <f t="shared" si="6190"/>
        <v>0</v>
      </c>
      <c r="W416" s="1233">
        <f t="shared" si="6161"/>
        <v>0</v>
      </c>
      <c r="X416" s="1233">
        <f t="shared" si="6132"/>
        <v>0</v>
      </c>
      <c r="Y416" s="1233">
        <f t="shared" si="6103"/>
        <v>0</v>
      </c>
      <c r="Z416" s="1233">
        <f t="shared" si="6074"/>
        <v>0</v>
      </c>
      <c r="AA416" s="1233">
        <f t="shared" si="6045"/>
        <v>0</v>
      </c>
      <c r="AB416" s="1233">
        <f t="shared" si="6016"/>
        <v>0</v>
      </c>
      <c r="AC416" s="1233">
        <f t="shared" si="5987"/>
        <v>0</v>
      </c>
      <c r="AD416" s="1233">
        <f t="shared" si="5958"/>
        <v>0</v>
      </c>
      <c r="AE416" s="1233">
        <f t="shared" si="5929"/>
        <v>0</v>
      </c>
      <c r="AF416" s="1233">
        <f t="shared" si="5900"/>
        <v>0</v>
      </c>
      <c r="AG416" s="1233">
        <f t="shared" si="5871"/>
        <v>0</v>
      </c>
      <c r="AH416" s="1233">
        <f t="shared" si="6322" ref="AH416:AW431">$F$292</f>
        <v>0</v>
      </c>
      <c r="AI416" s="1233">
        <f t="shared" si="6293"/>
        <v>0</v>
      </c>
      <c r="AJ416" s="1233">
        <f t="shared" si="6264"/>
        <v>0</v>
      </c>
      <c r="AK416" s="1233">
        <f t="shared" si="6235"/>
        <v>0</v>
      </c>
      <c r="AL416" s="1233">
        <f t="shared" si="6206"/>
        <v>0</v>
      </c>
      <c r="AM416" s="1233">
        <f t="shared" si="6177"/>
        <v>0</v>
      </c>
      <c r="AN416" s="1233">
        <f t="shared" si="6148"/>
        <v>0</v>
      </c>
      <c r="AO416" s="1233">
        <f t="shared" si="6119"/>
        <v>0</v>
      </c>
      <c r="AP416" s="1233">
        <f t="shared" si="6090"/>
        <v>0</v>
      </c>
      <c r="AQ416" s="1233">
        <f t="shared" si="6061"/>
        <v>0</v>
      </c>
      <c r="AR416" s="1233">
        <f t="shared" si="6032"/>
        <v>0</v>
      </c>
      <c r="AS416" s="1233">
        <f t="shared" si="6003"/>
        <v>0</v>
      </c>
      <c r="AT416" s="1233">
        <f t="shared" si="5974"/>
        <v>0</v>
      </c>
      <c r="AU416" s="1233">
        <f t="shared" si="5945"/>
        <v>0</v>
      </c>
      <c r="AV416" s="1233">
        <f t="shared" si="5916"/>
        <v>0</v>
      </c>
      <c r="AW416" s="1221">
        <v>0</v>
      </c>
      <c r="AX416" s="1233">
        <v>0</v>
      </c>
      <c r="AY416" s="1233">
        <v>0</v>
      </c>
      <c r="AZ416" s="1233">
        <v>0</v>
      </c>
      <c r="BA416" s="1221">
        <v>0</v>
      </c>
      <c r="BB416" s="1217"/>
      <c r="BC416" s="1217"/>
      <c r="BD416" s="1217"/>
      <c r="BE416" s="1217"/>
      <c r="BF416" s="1217"/>
      <c r="BG416" s="1217"/>
      <c r="BH416" s="1217"/>
      <c r="BI416" s="1217"/>
      <c r="BJ416" s="1217"/>
      <c r="BK416" s="1217"/>
      <c r="BL416" s="1217"/>
      <c r="BM416" s="1184"/>
      <c r="BN416" s="1184"/>
      <c r="BO416" s="1184"/>
      <c r="BP416" s="1184"/>
      <c r="BQ416" s="1184"/>
      <c r="BR416" s="1184"/>
      <c r="BS416" s="1184"/>
      <c r="BT416" s="1184"/>
      <c r="BU416" s="1184"/>
      <c r="BV416" s="1184"/>
      <c r="BW416" s="1184"/>
      <c r="BX416" s="1184"/>
      <c r="BY416" s="1184"/>
      <c r="BZ416" s="208"/>
      <c r="CA416" s="208"/>
      <c r="CB416" s="208"/>
      <c r="CC416" s="208"/>
      <c r="CD416" s="211"/>
    </row>
    <row r="417" ht="18" customHeight="1">
      <c r="A417" s="1284">
        <v>49</v>
      </c>
      <c r="B417" s="1233">
        <v>0</v>
      </c>
      <c r="C417" s="1233">
        <v>0</v>
      </c>
      <c r="D417" s="1233">
        <v>0</v>
      </c>
      <c r="E417" s="1233">
        <v>0</v>
      </c>
      <c r="F417" s="1233">
        <v>0</v>
      </c>
      <c r="G417" s="1233">
        <v>0</v>
      </c>
      <c r="H417" s="1233">
        <v>0</v>
      </c>
      <c r="I417" s="1233">
        <v>0</v>
      </c>
      <c r="J417" s="1233">
        <v>0</v>
      </c>
      <c r="K417" s="1233">
        <v>0</v>
      </c>
      <c r="L417" s="1233">
        <v>0</v>
      </c>
      <c r="M417" s="1233">
        <v>0</v>
      </c>
      <c r="N417" s="1233">
        <v>0</v>
      </c>
      <c r="O417" s="1233">
        <v>0</v>
      </c>
      <c r="P417" s="1233">
        <v>0</v>
      </c>
      <c r="Q417" s="1233">
        <v>0</v>
      </c>
      <c r="R417" s="1233">
        <v>0</v>
      </c>
      <c r="S417" s="1233">
        <v>0</v>
      </c>
      <c r="T417" s="1233">
        <f t="shared" si="6277"/>
        <v>0</v>
      </c>
      <c r="U417" s="1233">
        <f t="shared" si="6248"/>
        <v>0</v>
      </c>
      <c r="V417" s="1233">
        <f t="shared" si="6219"/>
        <v>0</v>
      </c>
      <c r="W417" s="1233">
        <f t="shared" si="6190"/>
        <v>0</v>
      </c>
      <c r="X417" s="1233">
        <f t="shared" si="6161"/>
        <v>0</v>
      </c>
      <c r="Y417" s="1233">
        <f t="shared" si="6132"/>
        <v>0</v>
      </c>
      <c r="Z417" s="1233">
        <f t="shared" si="6103"/>
        <v>0</v>
      </c>
      <c r="AA417" s="1233">
        <f t="shared" si="6074"/>
        <v>0</v>
      </c>
      <c r="AB417" s="1233">
        <f t="shared" si="6045"/>
        <v>0</v>
      </c>
      <c r="AC417" s="1233">
        <f t="shared" si="6016"/>
        <v>0</v>
      </c>
      <c r="AD417" s="1233">
        <f t="shared" si="5987"/>
        <v>0</v>
      </c>
      <c r="AE417" s="1233">
        <f t="shared" si="5958"/>
        <v>0</v>
      </c>
      <c r="AF417" s="1233">
        <f t="shared" si="5929"/>
        <v>0</v>
      </c>
      <c r="AG417" s="1233">
        <f t="shared" si="5900"/>
        <v>0</v>
      </c>
      <c r="AH417" s="1233">
        <f t="shared" si="6351" ref="AH417:AW432">$F$293</f>
        <v>0</v>
      </c>
      <c r="AI417" s="1233">
        <f t="shared" si="6322"/>
        <v>0</v>
      </c>
      <c r="AJ417" s="1233">
        <f t="shared" si="6293"/>
        <v>0</v>
      </c>
      <c r="AK417" s="1233">
        <f t="shared" si="6264"/>
        <v>0</v>
      </c>
      <c r="AL417" s="1233">
        <f t="shared" si="6235"/>
        <v>0</v>
      </c>
      <c r="AM417" s="1233">
        <f t="shared" si="6206"/>
        <v>0</v>
      </c>
      <c r="AN417" s="1233">
        <f t="shared" si="6177"/>
        <v>0</v>
      </c>
      <c r="AO417" s="1233">
        <f t="shared" si="6148"/>
        <v>0</v>
      </c>
      <c r="AP417" s="1233">
        <f t="shared" si="6119"/>
        <v>0</v>
      </c>
      <c r="AQ417" s="1233">
        <f t="shared" si="6090"/>
        <v>0</v>
      </c>
      <c r="AR417" s="1233">
        <f t="shared" si="6061"/>
        <v>0</v>
      </c>
      <c r="AS417" s="1233">
        <f t="shared" si="6032"/>
        <v>0</v>
      </c>
      <c r="AT417" s="1233">
        <f t="shared" si="6003"/>
        <v>0</v>
      </c>
      <c r="AU417" s="1233">
        <f t="shared" si="5974"/>
        <v>0</v>
      </c>
      <c r="AV417" s="1233">
        <f t="shared" si="5945"/>
        <v>0</v>
      </c>
      <c r="AW417" s="1233">
        <f t="shared" si="5916"/>
        <v>0</v>
      </c>
      <c r="AX417" s="1233">
        <v>0</v>
      </c>
      <c r="AY417" s="1233">
        <v>0</v>
      </c>
      <c r="AZ417" s="1233">
        <v>0</v>
      </c>
      <c r="BA417" s="1221">
        <v>0</v>
      </c>
      <c r="BB417" s="1217"/>
      <c r="BC417" s="1217"/>
      <c r="BD417" s="1217"/>
      <c r="BE417" s="1217"/>
      <c r="BF417" s="1217"/>
      <c r="BG417" s="1217"/>
      <c r="BH417" s="1217"/>
      <c r="BI417" s="1217"/>
      <c r="BJ417" s="1217"/>
      <c r="BK417" s="1217"/>
      <c r="BL417" s="1217"/>
      <c r="BM417" s="1184"/>
      <c r="BN417" s="1184"/>
      <c r="BO417" s="1184"/>
      <c r="BP417" s="1184"/>
      <c r="BQ417" s="1184"/>
      <c r="BR417" s="1184"/>
      <c r="BS417" s="1184"/>
      <c r="BT417" s="1184"/>
      <c r="BU417" s="1184"/>
      <c r="BV417" s="1184"/>
      <c r="BW417" s="1184"/>
      <c r="BX417" s="1184"/>
      <c r="BY417" s="1184"/>
      <c r="BZ417" s="208"/>
      <c r="CA417" s="208"/>
      <c r="CB417" s="208"/>
      <c r="CC417" s="208"/>
      <c r="CD417" s="211"/>
    </row>
    <row r="418" ht="18" customHeight="1">
      <c r="A418" s="1284">
        <v>50</v>
      </c>
      <c r="B418" s="1233">
        <v>0</v>
      </c>
      <c r="C418" s="1233">
        <v>0</v>
      </c>
      <c r="D418" s="1233">
        <v>0</v>
      </c>
      <c r="E418" s="1233">
        <v>0</v>
      </c>
      <c r="F418" s="1233">
        <v>0</v>
      </c>
      <c r="G418" s="1233">
        <v>0</v>
      </c>
      <c r="H418" s="1233">
        <v>0</v>
      </c>
      <c r="I418" s="1233">
        <v>0</v>
      </c>
      <c r="J418" s="1233">
        <v>0</v>
      </c>
      <c r="K418" s="1233">
        <v>0</v>
      </c>
      <c r="L418" s="1233">
        <v>0</v>
      </c>
      <c r="M418" s="1233">
        <v>0</v>
      </c>
      <c r="N418" s="1233">
        <v>0</v>
      </c>
      <c r="O418" s="1233">
        <v>0</v>
      </c>
      <c r="P418" s="1233">
        <v>0</v>
      </c>
      <c r="Q418" s="1233">
        <v>0</v>
      </c>
      <c r="R418" s="1233">
        <v>0</v>
      </c>
      <c r="S418" s="1233">
        <v>0</v>
      </c>
      <c r="T418" s="1233">
        <v>0</v>
      </c>
      <c r="U418" s="1233">
        <f t="shared" si="6277"/>
        <v>0</v>
      </c>
      <c r="V418" s="1233">
        <f t="shared" si="6248"/>
        <v>0</v>
      </c>
      <c r="W418" s="1233">
        <f t="shared" si="6219"/>
        <v>0</v>
      </c>
      <c r="X418" s="1233">
        <f t="shared" si="6190"/>
        <v>0</v>
      </c>
      <c r="Y418" s="1233">
        <f t="shared" si="6161"/>
        <v>0</v>
      </c>
      <c r="Z418" s="1233">
        <f t="shared" si="6132"/>
        <v>0</v>
      </c>
      <c r="AA418" s="1233">
        <f t="shared" si="6103"/>
        <v>0</v>
      </c>
      <c r="AB418" s="1233">
        <f t="shared" si="6074"/>
        <v>0</v>
      </c>
      <c r="AC418" s="1233">
        <f t="shared" si="6045"/>
        <v>0</v>
      </c>
      <c r="AD418" s="1233">
        <f t="shared" si="6016"/>
        <v>0</v>
      </c>
      <c r="AE418" s="1233">
        <f t="shared" si="5987"/>
        <v>0</v>
      </c>
      <c r="AF418" s="1233">
        <f t="shared" si="5958"/>
        <v>0</v>
      </c>
      <c r="AG418" s="1233">
        <f t="shared" si="5929"/>
        <v>0</v>
      </c>
      <c r="AH418" s="1233">
        <f t="shared" si="6380" ref="AH418:AW433">$F$294</f>
        <v>0</v>
      </c>
      <c r="AI418" s="1233">
        <f t="shared" si="6351"/>
        <v>0</v>
      </c>
      <c r="AJ418" s="1233">
        <f t="shared" si="6322"/>
        <v>0</v>
      </c>
      <c r="AK418" s="1233">
        <f t="shared" si="6293"/>
        <v>0</v>
      </c>
      <c r="AL418" s="1233">
        <f t="shared" si="6264"/>
        <v>0</v>
      </c>
      <c r="AM418" s="1233">
        <f t="shared" si="6235"/>
        <v>0</v>
      </c>
      <c r="AN418" s="1233">
        <f t="shared" si="6206"/>
        <v>0</v>
      </c>
      <c r="AO418" s="1233">
        <f t="shared" si="6177"/>
        <v>0</v>
      </c>
      <c r="AP418" s="1233">
        <f t="shared" si="6148"/>
        <v>0</v>
      </c>
      <c r="AQ418" s="1233">
        <f t="shared" si="6119"/>
        <v>0</v>
      </c>
      <c r="AR418" s="1233">
        <f t="shared" si="6090"/>
        <v>0</v>
      </c>
      <c r="AS418" s="1233">
        <f t="shared" si="6061"/>
        <v>0</v>
      </c>
      <c r="AT418" s="1233">
        <f t="shared" si="6032"/>
        <v>0</v>
      </c>
      <c r="AU418" s="1233">
        <f t="shared" si="6003"/>
        <v>0</v>
      </c>
      <c r="AV418" s="1233">
        <f t="shared" si="5974"/>
        <v>0</v>
      </c>
      <c r="AW418" s="1233">
        <f t="shared" si="5945"/>
        <v>0</v>
      </c>
      <c r="AX418" s="1233">
        <f t="shared" si="6396" ref="AX418:BL432">$F$278</f>
        <v>0</v>
      </c>
      <c r="AY418" s="1233">
        <v>0</v>
      </c>
      <c r="AZ418" s="1233">
        <v>0</v>
      </c>
      <c r="BA418" s="1221">
        <v>0</v>
      </c>
      <c r="BB418" s="1217"/>
      <c r="BC418" s="1217"/>
      <c r="BD418" s="1217"/>
      <c r="BE418" s="1217"/>
      <c r="BF418" s="1217"/>
      <c r="BG418" s="1217"/>
      <c r="BH418" s="1217"/>
      <c r="BI418" s="1217"/>
      <c r="BJ418" s="1217"/>
      <c r="BK418" s="1217"/>
      <c r="BL418" s="1217"/>
      <c r="BM418" s="1184"/>
      <c r="BN418" s="1184"/>
      <c r="BO418" s="1184"/>
      <c r="BP418" s="1184"/>
      <c r="BQ418" s="1184"/>
      <c r="BR418" s="1184"/>
      <c r="BS418" s="1184"/>
      <c r="BT418" s="1184"/>
      <c r="BU418" s="1184"/>
      <c r="BV418" s="1184"/>
      <c r="BW418" s="1184"/>
      <c r="BX418" s="1184"/>
      <c r="BY418" s="1184"/>
      <c r="BZ418" s="208"/>
      <c r="CA418" s="208"/>
      <c r="CB418" s="208"/>
      <c r="CC418" s="208"/>
      <c r="CD418" s="211"/>
    </row>
    <row r="419" ht="18" customHeight="1">
      <c r="A419" s="1284">
        <v>51</v>
      </c>
      <c r="B419" s="1233">
        <v>0</v>
      </c>
      <c r="C419" s="1233">
        <v>0</v>
      </c>
      <c r="D419" s="1233">
        <v>0</v>
      </c>
      <c r="E419" s="1233">
        <v>0</v>
      </c>
      <c r="F419" s="1233">
        <v>0</v>
      </c>
      <c r="G419" s="1233">
        <v>0</v>
      </c>
      <c r="H419" s="1233">
        <v>0</v>
      </c>
      <c r="I419" s="1233">
        <v>0</v>
      </c>
      <c r="J419" s="1233">
        <v>0</v>
      </c>
      <c r="K419" s="1233">
        <v>0</v>
      </c>
      <c r="L419" s="1233">
        <v>0</v>
      </c>
      <c r="M419" s="1233">
        <v>0</v>
      </c>
      <c r="N419" s="1233">
        <v>0</v>
      </c>
      <c r="O419" s="1233">
        <v>0</v>
      </c>
      <c r="P419" s="1233">
        <v>0</v>
      </c>
      <c r="Q419" s="1233">
        <v>0</v>
      </c>
      <c r="R419" s="1233">
        <v>0</v>
      </c>
      <c r="S419" s="1233">
        <v>0</v>
      </c>
      <c r="T419" s="1233">
        <v>0</v>
      </c>
      <c r="U419" s="1233">
        <v>0</v>
      </c>
      <c r="V419" s="1233">
        <f t="shared" si="6277"/>
        <v>0</v>
      </c>
      <c r="W419" s="1233">
        <f t="shared" si="6248"/>
        <v>0</v>
      </c>
      <c r="X419" s="1233">
        <f t="shared" si="6219"/>
        <v>0</v>
      </c>
      <c r="Y419" s="1233">
        <f t="shared" si="6190"/>
        <v>0</v>
      </c>
      <c r="Z419" s="1233">
        <f t="shared" si="6161"/>
        <v>0</v>
      </c>
      <c r="AA419" s="1233">
        <f t="shared" si="6132"/>
        <v>0</v>
      </c>
      <c r="AB419" s="1233">
        <f t="shared" si="6103"/>
        <v>0</v>
      </c>
      <c r="AC419" s="1233">
        <f t="shared" si="6074"/>
        <v>0</v>
      </c>
      <c r="AD419" s="1233">
        <f t="shared" si="6045"/>
        <v>0</v>
      </c>
      <c r="AE419" s="1233">
        <f t="shared" si="6016"/>
        <v>0</v>
      </c>
      <c r="AF419" s="1233">
        <f t="shared" si="5987"/>
        <v>0</v>
      </c>
      <c r="AG419" s="1233">
        <f t="shared" si="5958"/>
        <v>0</v>
      </c>
      <c r="AH419" s="1233">
        <f t="shared" si="6409" ref="AH419:AW434">$F$295</f>
        <v>0</v>
      </c>
      <c r="AI419" s="1233">
        <f t="shared" si="6380"/>
        <v>0</v>
      </c>
      <c r="AJ419" s="1233">
        <f t="shared" si="6351"/>
        <v>0</v>
      </c>
      <c r="AK419" s="1233">
        <f t="shared" si="6322"/>
        <v>0</v>
      </c>
      <c r="AL419" s="1233">
        <f t="shared" si="6293"/>
        <v>0</v>
      </c>
      <c r="AM419" s="1233">
        <f t="shared" si="6264"/>
        <v>0</v>
      </c>
      <c r="AN419" s="1233">
        <f t="shared" si="6235"/>
        <v>0</v>
      </c>
      <c r="AO419" s="1233">
        <f t="shared" si="6206"/>
        <v>0</v>
      </c>
      <c r="AP419" s="1233">
        <f t="shared" si="6177"/>
        <v>0</v>
      </c>
      <c r="AQ419" s="1233">
        <f t="shared" si="6148"/>
        <v>0</v>
      </c>
      <c r="AR419" s="1233">
        <f t="shared" si="6119"/>
        <v>0</v>
      </c>
      <c r="AS419" s="1233">
        <f t="shared" si="6090"/>
        <v>0</v>
      </c>
      <c r="AT419" s="1233">
        <f t="shared" si="6061"/>
        <v>0</v>
      </c>
      <c r="AU419" s="1233">
        <f t="shared" si="6032"/>
        <v>0</v>
      </c>
      <c r="AV419" s="1233">
        <f t="shared" si="6003"/>
        <v>0</v>
      </c>
      <c r="AW419" s="1233">
        <f t="shared" si="5974"/>
        <v>0</v>
      </c>
      <c r="AX419" s="1233">
        <f t="shared" si="6425" ref="AX419:BL433">$F$279</f>
        <v>0</v>
      </c>
      <c r="AY419" s="1233">
        <f t="shared" si="6396"/>
        <v>0</v>
      </c>
      <c r="AZ419" s="1233">
        <v>0</v>
      </c>
      <c r="BA419" s="1221">
        <v>0</v>
      </c>
      <c r="BB419" s="1217"/>
      <c r="BC419" s="1217"/>
      <c r="BD419" s="1217"/>
      <c r="BE419" s="1217"/>
      <c r="BF419" s="1217"/>
      <c r="BG419" s="1217"/>
      <c r="BH419" s="1217"/>
      <c r="BI419" s="1217"/>
      <c r="BJ419" s="1217"/>
      <c r="BK419" s="1217"/>
      <c r="BL419" s="1217"/>
      <c r="BM419" s="1184"/>
      <c r="BN419" s="1184"/>
      <c r="BO419" s="1184"/>
      <c r="BP419" s="1184"/>
      <c r="BQ419" s="1184"/>
      <c r="BR419" s="1184"/>
      <c r="BS419" s="1184"/>
      <c r="BT419" s="1184"/>
      <c r="BU419" s="1184"/>
      <c r="BV419" s="1184"/>
      <c r="BW419" s="1184"/>
      <c r="BX419" s="1184"/>
      <c r="BY419" s="1184"/>
      <c r="BZ419" s="208"/>
      <c r="CA419" s="208"/>
      <c r="CB419" s="208"/>
      <c r="CC419" s="208"/>
      <c r="CD419" s="211"/>
    </row>
    <row r="420" ht="18" customHeight="1">
      <c r="A420" s="1284">
        <v>52</v>
      </c>
      <c r="B420" s="1233">
        <v>0</v>
      </c>
      <c r="C420" s="1233">
        <v>0</v>
      </c>
      <c r="D420" s="1233">
        <v>0</v>
      </c>
      <c r="E420" s="1233">
        <v>0</v>
      </c>
      <c r="F420" s="1233">
        <v>0</v>
      </c>
      <c r="G420" s="1233">
        <v>0</v>
      </c>
      <c r="H420" s="1233">
        <v>0</v>
      </c>
      <c r="I420" s="1233">
        <v>0</v>
      </c>
      <c r="J420" s="1233">
        <v>0</v>
      </c>
      <c r="K420" s="1233">
        <v>0</v>
      </c>
      <c r="L420" s="1233">
        <v>0</v>
      </c>
      <c r="M420" s="1233">
        <v>0</v>
      </c>
      <c r="N420" s="1233">
        <v>0</v>
      </c>
      <c r="O420" s="1233">
        <v>0</v>
      </c>
      <c r="P420" s="1233">
        <v>0</v>
      </c>
      <c r="Q420" s="1233">
        <v>0</v>
      </c>
      <c r="R420" s="1233">
        <v>0</v>
      </c>
      <c r="S420" s="1233">
        <v>0</v>
      </c>
      <c r="T420" s="1233">
        <v>0</v>
      </c>
      <c r="U420" s="1233">
        <v>0</v>
      </c>
      <c r="V420" s="1233">
        <v>0</v>
      </c>
      <c r="W420" s="1233">
        <f t="shared" si="6277"/>
        <v>0</v>
      </c>
      <c r="X420" s="1233">
        <f t="shared" si="6248"/>
        <v>0</v>
      </c>
      <c r="Y420" s="1233">
        <f t="shared" si="6219"/>
        <v>0</v>
      </c>
      <c r="Z420" s="1233">
        <f t="shared" si="6190"/>
        <v>0</v>
      </c>
      <c r="AA420" s="1233">
        <f t="shared" si="6161"/>
        <v>0</v>
      </c>
      <c r="AB420" s="1233">
        <f t="shared" si="6132"/>
        <v>0</v>
      </c>
      <c r="AC420" s="1233">
        <f t="shared" si="6103"/>
        <v>0</v>
      </c>
      <c r="AD420" s="1233">
        <f t="shared" si="6074"/>
        <v>0</v>
      </c>
      <c r="AE420" s="1233">
        <f t="shared" si="6045"/>
        <v>0</v>
      </c>
      <c r="AF420" s="1233">
        <f t="shared" si="6016"/>
        <v>0</v>
      </c>
      <c r="AG420" s="1233">
        <f t="shared" si="5987"/>
        <v>0</v>
      </c>
      <c r="AH420" s="1233">
        <f t="shared" si="6438" ref="AH420:AW435">$F$296</f>
        <v>0</v>
      </c>
      <c r="AI420" s="1233">
        <f t="shared" si="6409"/>
        <v>0</v>
      </c>
      <c r="AJ420" s="1233">
        <f t="shared" si="6380"/>
        <v>0</v>
      </c>
      <c r="AK420" s="1233">
        <f t="shared" si="6351"/>
        <v>0</v>
      </c>
      <c r="AL420" s="1233">
        <f t="shared" si="6322"/>
        <v>0</v>
      </c>
      <c r="AM420" s="1233">
        <f t="shared" si="6293"/>
        <v>0</v>
      </c>
      <c r="AN420" s="1233">
        <f t="shared" si="6264"/>
        <v>0</v>
      </c>
      <c r="AO420" s="1233">
        <f t="shared" si="6235"/>
        <v>0</v>
      </c>
      <c r="AP420" s="1233">
        <f t="shared" si="6206"/>
        <v>0</v>
      </c>
      <c r="AQ420" s="1233">
        <f t="shared" si="6177"/>
        <v>0</v>
      </c>
      <c r="AR420" s="1233">
        <f t="shared" si="6148"/>
        <v>0</v>
      </c>
      <c r="AS420" s="1233">
        <f t="shared" si="6119"/>
        <v>0</v>
      </c>
      <c r="AT420" s="1233">
        <f t="shared" si="6090"/>
        <v>0</v>
      </c>
      <c r="AU420" s="1233">
        <f t="shared" si="6061"/>
        <v>0</v>
      </c>
      <c r="AV420" s="1233">
        <f t="shared" si="6032"/>
        <v>0</v>
      </c>
      <c r="AW420" s="1233">
        <f t="shared" si="6003"/>
        <v>0</v>
      </c>
      <c r="AX420" s="1233">
        <f t="shared" si="6454" ref="AX420:BL434">$F$280</f>
        <v>0</v>
      </c>
      <c r="AY420" s="1233">
        <f t="shared" si="6425"/>
        <v>0</v>
      </c>
      <c r="AZ420" s="1233">
        <f t="shared" si="6396"/>
        <v>0</v>
      </c>
      <c r="BA420" s="1221">
        <v>0</v>
      </c>
      <c r="BB420" s="1217"/>
      <c r="BC420" s="1217"/>
      <c r="BD420" s="1217"/>
      <c r="BE420" s="1217"/>
      <c r="BF420" s="1217"/>
      <c r="BG420" s="1217"/>
      <c r="BH420" s="1217"/>
      <c r="BI420" s="1217"/>
      <c r="BJ420" s="1217"/>
      <c r="BK420" s="1217"/>
      <c r="BL420" s="1217"/>
      <c r="BM420" s="1184"/>
      <c r="BN420" s="1184"/>
      <c r="BO420" s="1184"/>
      <c r="BP420" s="1184"/>
      <c r="BQ420" s="1184"/>
      <c r="BR420" s="1184"/>
      <c r="BS420" s="1184"/>
      <c r="BT420" s="1184"/>
      <c r="BU420" s="1184"/>
      <c r="BV420" s="1184"/>
      <c r="BW420" s="1184"/>
      <c r="BX420" s="1184"/>
      <c r="BY420" s="1184"/>
      <c r="BZ420" s="208"/>
      <c r="CA420" s="208"/>
      <c r="CB420" s="208"/>
      <c r="CC420" s="208"/>
      <c r="CD420" s="211"/>
    </row>
    <row r="421" ht="18" customHeight="1">
      <c r="A421" s="1284">
        <v>53</v>
      </c>
      <c r="B421" s="1233">
        <v>0</v>
      </c>
      <c r="C421" s="1233">
        <v>0</v>
      </c>
      <c r="D421" s="1233">
        <v>0</v>
      </c>
      <c r="E421" s="1233">
        <v>0</v>
      </c>
      <c r="F421" s="1233">
        <v>0</v>
      </c>
      <c r="G421" s="1233">
        <v>0</v>
      </c>
      <c r="H421" s="1233">
        <v>0</v>
      </c>
      <c r="I421" s="1233">
        <v>0</v>
      </c>
      <c r="J421" s="1233">
        <v>0</v>
      </c>
      <c r="K421" s="1233">
        <v>0</v>
      </c>
      <c r="L421" s="1233">
        <v>0</v>
      </c>
      <c r="M421" s="1233">
        <v>0</v>
      </c>
      <c r="N421" s="1233">
        <v>0</v>
      </c>
      <c r="O421" s="1233">
        <v>0</v>
      </c>
      <c r="P421" s="1233">
        <v>0</v>
      </c>
      <c r="Q421" s="1233">
        <v>0</v>
      </c>
      <c r="R421" s="1233">
        <v>0</v>
      </c>
      <c r="S421" s="1233">
        <v>0</v>
      </c>
      <c r="T421" s="1233">
        <v>0</v>
      </c>
      <c r="U421" s="1233">
        <v>0</v>
      </c>
      <c r="V421" s="1233">
        <v>0</v>
      </c>
      <c r="W421" s="1233">
        <f>$F$56</f>
        <v>0</v>
      </c>
      <c r="X421" s="1233">
        <f t="shared" si="6277"/>
        <v>0</v>
      </c>
      <c r="Y421" s="1233">
        <f t="shared" si="6248"/>
        <v>0</v>
      </c>
      <c r="Z421" s="1233">
        <f t="shared" si="6219"/>
        <v>0</v>
      </c>
      <c r="AA421" s="1233">
        <f t="shared" si="6190"/>
        <v>0</v>
      </c>
      <c r="AB421" s="1233">
        <f t="shared" si="6161"/>
        <v>0</v>
      </c>
      <c r="AC421" s="1233">
        <f t="shared" si="6132"/>
        <v>0</v>
      </c>
      <c r="AD421" s="1233">
        <f t="shared" si="6103"/>
        <v>0</v>
      </c>
      <c r="AE421" s="1233">
        <f t="shared" si="6074"/>
        <v>0</v>
      </c>
      <c r="AF421" s="1233">
        <f t="shared" si="6045"/>
        <v>0</v>
      </c>
      <c r="AG421" s="1233">
        <f t="shared" si="6016"/>
        <v>0</v>
      </c>
      <c r="AH421" s="1233">
        <f t="shared" si="6468" ref="AH421:AW436">$F$297</f>
        <v>0</v>
      </c>
      <c r="AI421" s="1233">
        <f t="shared" si="6438"/>
        <v>0</v>
      </c>
      <c r="AJ421" s="1233">
        <f t="shared" si="6409"/>
        <v>0</v>
      </c>
      <c r="AK421" s="1233">
        <f t="shared" si="6380"/>
        <v>0</v>
      </c>
      <c r="AL421" s="1233">
        <f t="shared" si="6351"/>
        <v>0</v>
      </c>
      <c r="AM421" s="1233">
        <f t="shared" si="6322"/>
        <v>0</v>
      </c>
      <c r="AN421" s="1233">
        <f t="shared" si="6293"/>
        <v>0</v>
      </c>
      <c r="AO421" s="1233">
        <f t="shared" si="6264"/>
        <v>0</v>
      </c>
      <c r="AP421" s="1233">
        <f t="shared" si="6235"/>
        <v>0</v>
      </c>
      <c r="AQ421" s="1233">
        <f t="shared" si="6206"/>
        <v>0</v>
      </c>
      <c r="AR421" s="1233">
        <f t="shared" si="6177"/>
        <v>0</v>
      </c>
      <c r="AS421" s="1233">
        <f t="shared" si="6148"/>
        <v>0</v>
      </c>
      <c r="AT421" s="1233">
        <f t="shared" si="6119"/>
        <v>0</v>
      </c>
      <c r="AU421" s="1233">
        <f t="shared" si="6090"/>
        <v>0</v>
      </c>
      <c r="AV421" s="1233">
        <f t="shared" si="6061"/>
        <v>0</v>
      </c>
      <c r="AW421" s="1233">
        <f t="shared" si="6032"/>
        <v>0</v>
      </c>
      <c r="AX421" s="1233">
        <f t="shared" si="6484" ref="AX421:BL435">$F$281</f>
        <v>0</v>
      </c>
      <c r="AY421" s="1233">
        <f t="shared" si="6454"/>
        <v>0</v>
      </c>
      <c r="AZ421" s="1233">
        <f t="shared" si="6425"/>
        <v>0</v>
      </c>
      <c r="BA421" s="1233">
        <f t="shared" si="6396"/>
        <v>0</v>
      </c>
      <c r="BB421" s="1276">
        <v>0</v>
      </c>
      <c r="BC421" s="1184"/>
      <c r="BD421" s="1184"/>
      <c r="BE421" s="1184"/>
      <c r="BF421" s="1184"/>
      <c r="BG421" s="1184"/>
      <c r="BH421" s="1184"/>
      <c r="BI421" s="1184"/>
      <c r="BJ421" s="1184"/>
      <c r="BK421" s="1184"/>
      <c r="BL421" s="208"/>
      <c r="BM421" s="1184"/>
      <c r="BN421" s="1184"/>
      <c r="BO421" s="1184"/>
      <c r="BP421" s="1184"/>
      <c r="BQ421" s="1184"/>
      <c r="BR421" s="1184"/>
      <c r="BS421" s="1184"/>
      <c r="BT421" s="1184"/>
      <c r="BU421" s="1184"/>
      <c r="BV421" s="1184"/>
      <c r="BW421" s="1184"/>
      <c r="BX421" s="1184"/>
      <c r="BY421" s="1184"/>
      <c r="BZ421" s="208"/>
      <c r="CA421" s="208"/>
      <c r="CB421" s="208"/>
      <c r="CC421" s="208"/>
      <c r="CD421" s="211"/>
    </row>
    <row r="422" ht="18" customHeight="1">
      <c r="A422" s="1284">
        <v>54</v>
      </c>
      <c r="B422" s="1233">
        <v>0</v>
      </c>
      <c r="C422" s="1233">
        <v>0</v>
      </c>
      <c r="D422" s="1233">
        <v>0</v>
      </c>
      <c r="E422" s="1233">
        <v>0</v>
      </c>
      <c r="F422" s="1233">
        <v>0</v>
      </c>
      <c r="G422" s="1233">
        <v>0</v>
      </c>
      <c r="H422" s="1233">
        <v>0</v>
      </c>
      <c r="I422" s="1233">
        <v>0</v>
      </c>
      <c r="J422" s="1233">
        <v>0</v>
      </c>
      <c r="K422" s="1233">
        <v>0</v>
      </c>
      <c r="L422" s="1233">
        <v>0</v>
      </c>
      <c r="M422" s="1233">
        <v>0</v>
      </c>
      <c r="N422" s="1233">
        <v>0</v>
      </c>
      <c r="O422" s="1233">
        <v>0</v>
      </c>
      <c r="P422" s="1233">
        <v>0</v>
      </c>
      <c r="Q422" s="1233">
        <v>0</v>
      </c>
      <c r="R422" s="1233">
        <v>0</v>
      </c>
      <c r="S422" s="1233">
        <v>0</v>
      </c>
      <c r="T422" s="1233">
        <v>0</v>
      </c>
      <c r="U422" s="1233">
        <v>0</v>
      </c>
      <c r="V422" s="1233">
        <v>0</v>
      </c>
      <c r="W422" s="1233">
        <f>$F$56</f>
        <v>0</v>
      </c>
      <c r="X422" s="1233">
        <f>$F$56</f>
        <v>0</v>
      </c>
      <c r="Y422" s="1233">
        <f t="shared" si="6277"/>
        <v>0</v>
      </c>
      <c r="Z422" s="1233">
        <f t="shared" si="6248"/>
        <v>0</v>
      </c>
      <c r="AA422" s="1233">
        <f t="shared" si="6219"/>
        <v>0</v>
      </c>
      <c r="AB422" s="1233">
        <f t="shared" si="6190"/>
        <v>0</v>
      </c>
      <c r="AC422" s="1233">
        <f t="shared" si="6161"/>
        <v>0</v>
      </c>
      <c r="AD422" s="1233">
        <f t="shared" si="6132"/>
        <v>0</v>
      </c>
      <c r="AE422" s="1233">
        <f t="shared" si="6103"/>
        <v>0</v>
      </c>
      <c r="AF422" s="1233">
        <f t="shared" si="6074"/>
        <v>0</v>
      </c>
      <c r="AG422" s="1233">
        <f t="shared" si="6045"/>
        <v>0</v>
      </c>
      <c r="AH422" s="1233">
        <f t="shared" si="6499" ref="AH422:AW437">$F$298</f>
        <v>0</v>
      </c>
      <c r="AI422" s="1233">
        <f t="shared" si="6468"/>
        <v>0</v>
      </c>
      <c r="AJ422" s="1233">
        <f t="shared" si="6438"/>
        <v>0</v>
      </c>
      <c r="AK422" s="1233">
        <f t="shared" si="6409"/>
        <v>0</v>
      </c>
      <c r="AL422" s="1233">
        <f t="shared" si="6380"/>
        <v>0</v>
      </c>
      <c r="AM422" s="1233">
        <f t="shared" si="6351"/>
        <v>0</v>
      </c>
      <c r="AN422" s="1233">
        <f t="shared" si="6322"/>
        <v>0</v>
      </c>
      <c r="AO422" s="1233">
        <f t="shared" si="6293"/>
        <v>0</v>
      </c>
      <c r="AP422" s="1233">
        <f t="shared" si="6264"/>
        <v>0</v>
      </c>
      <c r="AQ422" s="1233">
        <f t="shared" si="6235"/>
        <v>0</v>
      </c>
      <c r="AR422" s="1233">
        <f t="shared" si="6206"/>
        <v>0</v>
      </c>
      <c r="AS422" s="1233">
        <f t="shared" si="6177"/>
        <v>0</v>
      </c>
      <c r="AT422" s="1233">
        <f t="shared" si="6148"/>
        <v>0</v>
      </c>
      <c r="AU422" s="1233">
        <f t="shared" si="6119"/>
        <v>0</v>
      </c>
      <c r="AV422" s="1233">
        <f t="shared" si="6090"/>
        <v>0</v>
      </c>
      <c r="AW422" s="1233">
        <f t="shared" si="6061"/>
        <v>0</v>
      </c>
      <c r="AX422" s="1233">
        <f t="shared" si="6515" ref="AX422:BL436">$F$282</f>
        <v>0</v>
      </c>
      <c r="AY422" s="1233">
        <f t="shared" si="6484"/>
        <v>0</v>
      </c>
      <c r="AZ422" s="1233">
        <f t="shared" si="6454"/>
        <v>0</v>
      </c>
      <c r="BA422" s="1233">
        <f t="shared" si="6425"/>
        <v>0</v>
      </c>
      <c r="BB422" s="1233">
        <f t="shared" si="6396"/>
        <v>0</v>
      </c>
      <c r="BC422" s="1276">
        <v>0</v>
      </c>
      <c r="BD422" s="1184"/>
      <c r="BE422" s="1184"/>
      <c r="BF422" s="1184"/>
      <c r="BG422" s="1184"/>
      <c r="BH422" s="1184"/>
      <c r="BI422" s="1184"/>
      <c r="BJ422" s="1184"/>
      <c r="BK422" s="1184"/>
      <c r="BL422" s="208"/>
      <c r="BM422" s="1184"/>
      <c r="BN422" s="1184"/>
      <c r="BO422" s="1184"/>
      <c r="BP422" s="1184"/>
      <c r="BQ422" s="1184"/>
      <c r="BR422" s="1184"/>
      <c r="BS422" s="1184"/>
      <c r="BT422" s="1184"/>
      <c r="BU422" s="1184"/>
      <c r="BV422" s="1184"/>
      <c r="BW422" s="1184"/>
      <c r="BX422" s="1184"/>
      <c r="BY422" s="1184"/>
      <c r="BZ422" s="208"/>
      <c r="CA422" s="208"/>
      <c r="CB422" s="208"/>
      <c r="CC422" s="208"/>
      <c r="CD422" s="211"/>
    </row>
    <row r="423" ht="18" customHeight="1">
      <c r="A423" s="1284">
        <v>55</v>
      </c>
      <c r="B423" s="1233">
        <v>0</v>
      </c>
      <c r="C423" s="1233">
        <v>0</v>
      </c>
      <c r="D423" s="1233">
        <v>0</v>
      </c>
      <c r="E423" s="1233">
        <v>0</v>
      </c>
      <c r="F423" s="1233">
        <v>0</v>
      </c>
      <c r="G423" s="1233">
        <v>0</v>
      </c>
      <c r="H423" s="1233">
        <v>0</v>
      </c>
      <c r="I423" s="1233">
        <v>0</v>
      </c>
      <c r="J423" s="1233">
        <v>0</v>
      </c>
      <c r="K423" s="1233">
        <v>0</v>
      </c>
      <c r="L423" s="1233">
        <v>0</v>
      </c>
      <c r="M423" s="1233">
        <v>0</v>
      </c>
      <c r="N423" s="1233">
        <v>0</v>
      </c>
      <c r="O423" s="1233">
        <v>0</v>
      </c>
      <c r="P423" s="1233">
        <v>0</v>
      </c>
      <c r="Q423" s="1233">
        <v>0</v>
      </c>
      <c r="R423" s="1233">
        <v>0</v>
      </c>
      <c r="S423" s="1233">
        <v>0</v>
      </c>
      <c r="T423" s="1233">
        <v>0</v>
      </c>
      <c r="U423" s="1233">
        <v>0</v>
      </c>
      <c r="V423" s="1233">
        <v>0</v>
      </c>
      <c r="W423" s="1233">
        <f>$F$56</f>
        <v>0</v>
      </c>
      <c r="X423" s="1233">
        <f>$F$56</f>
        <v>0</v>
      </c>
      <c r="Y423" s="1233">
        <f>$F$56</f>
        <v>0</v>
      </c>
      <c r="Z423" s="1233">
        <f t="shared" si="6277"/>
        <v>0</v>
      </c>
      <c r="AA423" s="1233">
        <f t="shared" si="6248"/>
        <v>0</v>
      </c>
      <c r="AB423" s="1233">
        <f t="shared" si="6219"/>
        <v>0</v>
      </c>
      <c r="AC423" s="1233">
        <f t="shared" si="6190"/>
        <v>0</v>
      </c>
      <c r="AD423" s="1233">
        <f t="shared" si="6161"/>
        <v>0</v>
      </c>
      <c r="AE423" s="1233">
        <f t="shared" si="6132"/>
        <v>0</v>
      </c>
      <c r="AF423" s="1233">
        <f t="shared" si="6103"/>
        <v>0</v>
      </c>
      <c r="AG423" s="1233">
        <f t="shared" si="6074"/>
        <v>0</v>
      </c>
      <c r="AH423" s="1233">
        <f t="shared" si="6531" ref="AH423:AW438">$F$299</f>
        <v>0</v>
      </c>
      <c r="AI423" s="1233">
        <f t="shared" si="6499"/>
        <v>0</v>
      </c>
      <c r="AJ423" s="1233">
        <f t="shared" si="6468"/>
        <v>0</v>
      </c>
      <c r="AK423" s="1233">
        <f t="shared" si="6438"/>
        <v>0</v>
      </c>
      <c r="AL423" s="1233">
        <f t="shared" si="6409"/>
        <v>0</v>
      </c>
      <c r="AM423" s="1233">
        <f t="shared" si="6380"/>
        <v>0</v>
      </c>
      <c r="AN423" s="1233">
        <f t="shared" si="6351"/>
        <v>0</v>
      </c>
      <c r="AO423" s="1233">
        <f t="shared" si="6322"/>
        <v>0</v>
      </c>
      <c r="AP423" s="1233">
        <f t="shared" si="6293"/>
        <v>0</v>
      </c>
      <c r="AQ423" s="1233">
        <f t="shared" si="6264"/>
        <v>0</v>
      </c>
      <c r="AR423" s="1233">
        <f t="shared" si="6235"/>
        <v>0</v>
      </c>
      <c r="AS423" s="1233">
        <f t="shared" si="6206"/>
        <v>0</v>
      </c>
      <c r="AT423" s="1233">
        <f t="shared" si="6177"/>
        <v>0</v>
      </c>
      <c r="AU423" s="1233">
        <f t="shared" si="6148"/>
        <v>0</v>
      </c>
      <c r="AV423" s="1233">
        <f t="shared" si="6119"/>
        <v>0</v>
      </c>
      <c r="AW423" s="1233">
        <f t="shared" si="6090"/>
        <v>0</v>
      </c>
      <c r="AX423" s="1233">
        <f t="shared" si="6547" ref="AX423:BL437">$F$283</f>
        <v>0</v>
      </c>
      <c r="AY423" s="1233">
        <f t="shared" si="6515"/>
        <v>0</v>
      </c>
      <c r="AZ423" s="1233">
        <f t="shared" si="6484"/>
        <v>0</v>
      </c>
      <c r="BA423" s="1233">
        <f t="shared" si="6454"/>
        <v>0</v>
      </c>
      <c r="BB423" s="1233">
        <f t="shared" si="6425"/>
        <v>0</v>
      </c>
      <c r="BC423" s="1233">
        <f t="shared" si="6396"/>
        <v>0</v>
      </c>
      <c r="BD423" s="1276">
        <v>0</v>
      </c>
      <c r="BE423" s="1184"/>
      <c r="BF423" s="1184"/>
      <c r="BG423" s="1184"/>
      <c r="BH423" s="1184"/>
      <c r="BI423" s="1184"/>
      <c r="BJ423" s="1184"/>
      <c r="BK423" s="1184"/>
      <c r="BL423" s="208"/>
      <c r="BM423" s="1184"/>
      <c r="BN423" s="1184"/>
      <c r="BO423" s="1184"/>
      <c r="BP423" s="1184"/>
      <c r="BQ423" s="1184"/>
      <c r="BR423" s="1184"/>
      <c r="BS423" s="1184"/>
      <c r="BT423" s="1184"/>
      <c r="BU423" s="1184"/>
      <c r="BV423" s="1184"/>
      <c r="BW423" s="1184"/>
      <c r="BX423" s="1184"/>
      <c r="BY423" s="1184"/>
      <c r="BZ423" s="208"/>
      <c r="CA423" s="208"/>
      <c r="CB423" s="208"/>
      <c r="CC423" s="208"/>
      <c r="CD423" s="211"/>
    </row>
    <row r="424" ht="18" customHeight="1">
      <c r="A424" s="1284">
        <v>56</v>
      </c>
      <c r="B424" s="1233">
        <v>0</v>
      </c>
      <c r="C424" s="1233">
        <v>0</v>
      </c>
      <c r="D424" s="1233">
        <v>0</v>
      </c>
      <c r="E424" s="1233">
        <v>0</v>
      </c>
      <c r="F424" s="1233">
        <v>0</v>
      </c>
      <c r="G424" s="1233">
        <v>0</v>
      </c>
      <c r="H424" s="1233">
        <v>0</v>
      </c>
      <c r="I424" s="1233">
        <v>0</v>
      </c>
      <c r="J424" s="1233">
        <v>0</v>
      </c>
      <c r="K424" s="1233">
        <v>0</v>
      </c>
      <c r="L424" s="1233">
        <v>0</v>
      </c>
      <c r="M424" s="1233">
        <v>0</v>
      </c>
      <c r="N424" s="1233">
        <v>0</v>
      </c>
      <c r="O424" s="1233">
        <v>0</v>
      </c>
      <c r="P424" s="1233">
        <v>0</v>
      </c>
      <c r="Q424" s="1233">
        <v>0</v>
      </c>
      <c r="R424" s="1233">
        <v>0</v>
      </c>
      <c r="S424" s="1233">
        <v>0</v>
      </c>
      <c r="T424" s="1233">
        <v>0</v>
      </c>
      <c r="U424" s="1233">
        <v>0</v>
      </c>
      <c r="V424" s="1233">
        <v>0</v>
      </c>
      <c r="W424" s="1233">
        <f>$F$56</f>
        <v>0</v>
      </c>
      <c r="X424" s="1233">
        <f>$F$56</f>
        <v>0</v>
      </c>
      <c r="Y424" s="1233">
        <f>$F$56</f>
        <v>0</v>
      </c>
      <c r="Z424" s="1233">
        <f>$F$56</f>
        <v>0</v>
      </c>
      <c r="AA424" s="1233">
        <f t="shared" si="6277"/>
        <v>0</v>
      </c>
      <c r="AB424" s="1233">
        <f t="shared" si="6248"/>
        <v>0</v>
      </c>
      <c r="AC424" s="1233">
        <f t="shared" si="6219"/>
        <v>0</v>
      </c>
      <c r="AD424" s="1233">
        <f t="shared" si="6190"/>
        <v>0</v>
      </c>
      <c r="AE424" s="1233">
        <f t="shared" si="6161"/>
        <v>0</v>
      </c>
      <c r="AF424" s="1233">
        <f t="shared" si="6132"/>
        <v>0</v>
      </c>
      <c r="AG424" s="1233">
        <f t="shared" si="6103"/>
        <v>0</v>
      </c>
      <c r="AH424" s="1233">
        <f t="shared" si="6564" ref="AH424:AW439">$F$300</f>
        <v>0</v>
      </c>
      <c r="AI424" s="1233">
        <f t="shared" si="6531"/>
        <v>0</v>
      </c>
      <c r="AJ424" s="1233">
        <f t="shared" si="6499"/>
        <v>0</v>
      </c>
      <c r="AK424" s="1233">
        <f t="shared" si="6468"/>
        <v>0</v>
      </c>
      <c r="AL424" s="1233">
        <f t="shared" si="6438"/>
        <v>0</v>
      </c>
      <c r="AM424" s="1233">
        <f t="shared" si="6409"/>
        <v>0</v>
      </c>
      <c r="AN424" s="1233">
        <f t="shared" si="6380"/>
        <v>0</v>
      </c>
      <c r="AO424" s="1233">
        <f t="shared" si="6351"/>
        <v>0</v>
      </c>
      <c r="AP424" s="1233">
        <f t="shared" si="6322"/>
        <v>0</v>
      </c>
      <c r="AQ424" s="1233">
        <f t="shared" si="6293"/>
        <v>0</v>
      </c>
      <c r="AR424" s="1233">
        <f t="shared" si="6264"/>
        <v>0</v>
      </c>
      <c r="AS424" s="1233">
        <f t="shared" si="6235"/>
        <v>0</v>
      </c>
      <c r="AT424" s="1233">
        <f t="shared" si="6206"/>
        <v>0</v>
      </c>
      <c r="AU424" s="1233">
        <f t="shared" si="6177"/>
        <v>0</v>
      </c>
      <c r="AV424" s="1233">
        <f t="shared" si="6148"/>
        <v>0</v>
      </c>
      <c r="AW424" s="1233">
        <f t="shared" si="6119"/>
        <v>0</v>
      </c>
      <c r="AX424" s="1233">
        <f t="shared" si="6580" ref="AX424:BL438">$F$284</f>
        <v>0</v>
      </c>
      <c r="AY424" s="1233">
        <f t="shared" si="6547"/>
        <v>0</v>
      </c>
      <c r="AZ424" s="1233">
        <f t="shared" si="6515"/>
        <v>0</v>
      </c>
      <c r="BA424" s="1233">
        <f t="shared" si="6484"/>
        <v>0</v>
      </c>
      <c r="BB424" s="1233">
        <f t="shared" si="6454"/>
        <v>0</v>
      </c>
      <c r="BC424" s="1233">
        <f t="shared" si="6425"/>
        <v>0</v>
      </c>
      <c r="BD424" s="1233">
        <f t="shared" si="6396"/>
        <v>0</v>
      </c>
      <c r="BE424" s="1276">
        <v>0</v>
      </c>
      <c r="BF424" s="1184"/>
      <c r="BG424" s="1184"/>
      <c r="BH424" s="1184"/>
      <c r="BI424" s="1184"/>
      <c r="BJ424" s="1184"/>
      <c r="BK424" s="1184"/>
      <c r="BL424" s="208"/>
      <c r="BM424" s="1184"/>
      <c r="BN424" s="1184"/>
      <c r="BO424" s="1184"/>
      <c r="BP424" s="1184"/>
      <c r="BQ424" s="1184"/>
      <c r="BR424" s="1184"/>
      <c r="BS424" s="1184"/>
      <c r="BT424" s="1184"/>
      <c r="BU424" s="1184"/>
      <c r="BV424" s="1184"/>
      <c r="BW424" s="1184"/>
      <c r="BX424" s="1184"/>
      <c r="BY424" s="1184"/>
      <c r="BZ424" s="208"/>
      <c r="CA424" s="208"/>
      <c r="CB424" s="208"/>
      <c r="CC424" s="208"/>
      <c r="CD424" s="211"/>
    </row>
    <row r="425" ht="18" customHeight="1">
      <c r="A425" s="1284">
        <v>57</v>
      </c>
      <c r="B425" s="1233">
        <v>0</v>
      </c>
      <c r="C425" s="1233">
        <v>0</v>
      </c>
      <c r="D425" s="1233">
        <v>0</v>
      </c>
      <c r="E425" s="1233">
        <v>0</v>
      </c>
      <c r="F425" s="1233">
        <v>0</v>
      </c>
      <c r="G425" s="1233">
        <v>0</v>
      </c>
      <c r="H425" s="1233">
        <v>0</v>
      </c>
      <c r="I425" s="1233">
        <v>0</v>
      </c>
      <c r="J425" s="1233">
        <v>0</v>
      </c>
      <c r="K425" s="1233">
        <v>0</v>
      </c>
      <c r="L425" s="1233">
        <v>0</v>
      </c>
      <c r="M425" s="1233">
        <v>0</v>
      </c>
      <c r="N425" s="1233">
        <v>0</v>
      </c>
      <c r="O425" s="1233">
        <v>0</v>
      </c>
      <c r="P425" s="1233">
        <v>0</v>
      </c>
      <c r="Q425" s="1233">
        <v>0</v>
      </c>
      <c r="R425" s="1233">
        <v>0</v>
      </c>
      <c r="S425" s="1233">
        <v>0</v>
      </c>
      <c r="T425" s="1233">
        <v>0</v>
      </c>
      <c r="U425" s="1233">
        <v>0</v>
      </c>
      <c r="V425" s="1233">
        <v>0</v>
      </c>
      <c r="W425" s="1233">
        <f>$F$56</f>
        <v>0</v>
      </c>
      <c r="X425" s="1233">
        <f>$F$56</f>
        <v>0</v>
      </c>
      <c r="Y425" s="1233">
        <f>$F$56</f>
        <v>0</v>
      </c>
      <c r="Z425" s="1233">
        <f>$F$56</f>
        <v>0</v>
      </c>
      <c r="AA425" s="1233">
        <f>$F$56</f>
        <v>0</v>
      </c>
      <c r="AB425" s="1233">
        <f t="shared" si="6277"/>
        <v>0</v>
      </c>
      <c r="AC425" s="1233">
        <f t="shared" si="6248"/>
        <v>0</v>
      </c>
      <c r="AD425" s="1233">
        <f t="shared" si="6219"/>
        <v>0</v>
      </c>
      <c r="AE425" s="1233">
        <f t="shared" si="6190"/>
        <v>0</v>
      </c>
      <c r="AF425" s="1233">
        <f t="shared" si="6161"/>
        <v>0</v>
      </c>
      <c r="AG425" s="1233">
        <f t="shared" si="6132"/>
        <v>0</v>
      </c>
      <c r="AH425" s="1233">
        <f t="shared" si="6598" ref="AH425:AW440">$F$301</f>
        <v>0</v>
      </c>
      <c r="AI425" s="1233">
        <f t="shared" si="6564"/>
        <v>0</v>
      </c>
      <c r="AJ425" s="1233">
        <f t="shared" si="6531"/>
        <v>0</v>
      </c>
      <c r="AK425" s="1233">
        <f t="shared" si="6499"/>
        <v>0</v>
      </c>
      <c r="AL425" s="1233">
        <f t="shared" si="6468"/>
        <v>0</v>
      </c>
      <c r="AM425" s="1233">
        <f t="shared" si="6438"/>
        <v>0</v>
      </c>
      <c r="AN425" s="1233">
        <f t="shared" si="6409"/>
        <v>0</v>
      </c>
      <c r="AO425" s="1233">
        <f t="shared" si="6380"/>
        <v>0</v>
      </c>
      <c r="AP425" s="1233">
        <f t="shared" si="6351"/>
        <v>0</v>
      </c>
      <c r="AQ425" s="1233">
        <f t="shared" si="6322"/>
        <v>0</v>
      </c>
      <c r="AR425" s="1233">
        <f t="shared" si="6293"/>
        <v>0</v>
      </c>
      <c r="AS425" s="1233">
        <f t="shared" si="6264"/>
        <v>0</v>
      </c>
      <c r="AT425" s="1233">
        <f t="shared" si="6235"/>
        <v>0</v>
      </c>
      <c r="AU425" s="1233">
        <f t="shared" si="6206"/>
        <v>0</v>
      </c>
      <c r="AV425" s="1233">
        <f t="shared" si="6177"/>
        <v>0</v>
      </c>
      <c r="AW425" s="1233">
        <f t="shared" si="6148"/>
        <v>0</v>
      </c>
      <c r="AX425" s="1233">
        <f t="shared" si="6614" ref="AX425:BL439">$F$285</f>
        <v>0</v>
      </c>
      <c r="AY425" s="1233">
        <f t="shared" si="6580"/>
        <v>0</v>
      </c>
      <c r="AZ425" s="1233">
        <f t="shared" si="6547"/>
        <v>0</v>
      </c>
      <c r="BA425" s="1233">
        <f t="shared" si="6515"/>
        <v>0</v>
      </c>
      <c r="BB425" s="1233">
        <f t="shared" si="6484"/>
        <v>0</v>
      </c>
      <c r="BC425" s="1233">
        <f t="shared" si="6454"/>
        <v>0</v>
      </c>
      <c r="BD425" s="1233">
        <f t="shared" si="6425"/>
        <v>0</v>
      </c>
      <c r="BE425" s="1233">
        <f t="shared" si="6396"/>
        <v>0</v>
      </c>
      <c r="BF425" s="1276">
        <v>0</v>
      </c>
      <c r="BG425" s="1184"/>
      <c r="BH425" s="1184"/>
      <c r="BI425" s="1184"/>
      <c r="BJ425" s="1184"/>
      <c r="BK425" s="1184"/>
      <c r="BL425" s="208"/>
      <c r="BM425" s="1184"/>
      <c r="BN425" s="1184"/>
      <c r="BO425" s="1184"/>
      <c r="BP425" s="1184"/>
      <c r="BQ425" s="1184"/>
      <c r="BR425" s="1184"/>
      <c r="BS425" s="1184"/>
      <c r="BT425" s="1184"/>
      <c r="BU425" s="1184"/>
      <c r="BV425" s="1184"/>
      <c r="BW425" s="1184"/>
      <c r="BX425" s="1184"/>
      <c r="BY425" s="1184"/>
      <c r="BZ425" s="208"/>
      <c r="CA425" s="208"/>
      <c r="CB425" s="208"/>
      <c r="CC425" s="208"/>
      <c r="CD425" s="211"/>
    </row>
    <row r="426" ht="18" customHeight="1">
      <c r="A426" s="1284">
        <v>58</v>
      </c>
      <c r="B426" s="1233">
        <v>0</v>
      </c>
      <c r="C426" s="1233">
        <v>0</v>
      </c>
      <c r="D426" s="1233">
        <v>0</v>
      </c>
      <c r="E426" s="1233">
        <v>0</v>
      </c>
      <c r="F426" s="1233">
        <v>0</v>
      </c>
      <c r="G426" s="1233">
        <v>0</v>
      </c>
      <c r="H426" s="1233">
        <v>0</v>
      </c>
      <c r="I426" s="1233">
        <v>0</v>
      </c>
      <c r="J426" s="1233">
        <v>0</v>
      </c>
      <c r="K426" s="1233">
        <v>0</v>
      </c>
      <c r="L426" s="1233">
        <v>0</v>
      </c>
      <c r="M426" s="1233">
        <v>0</v>
      </c>
      <c r="N426" s="1233">
        <v>0</v>
      </c>
      <c r="O426" s="1233">
        <v>0</v>
      </c>
      <c r="P426" s="1233">
        <v>0</v>
      </c>
      <c r="Q426" s="1233">
        <v>0</v>
      </c>
      <c r="R426" s="1233">
        <v>0</v>
      </c>
      <c r="S426" s="1233">
        <v>0</v>
      </c>
      <c r="T426" s="1233">
        <v>0</v>
      </c>
      <c r="U426" s="1233">
        <v>0</v>
      </c>
      <c r="V426" s="1233">
        <v>0</v>
      </c>
      <c r="W426" s="1233">
        <f>$F$56</f>
        <v>0</v>
      </c>
      <c r="X426" s="1233">
        <f>$F$56</f>
        <v>0</v>
      </c>
      <c r="Y426" s="1233">
        <f>$F$56</f>
        <v>0</v>
      </c>
      <c r="Z426" s="1233">
        <f>$F$56</f>
        <v>0</v>
      </c>
      <c r="AA426" s="1233">
        <f>$F$56</f>
        <v>0</v>
      </c>
      <c r="AB426" s="1233">
        <f>$F$56</f>
        <v>0</v>
      </c>
      <c r="AC426" s="1233">
        <f t="shared" si="6277"/>
        <v>0</v>
      </c>
      <c r="AD426" s="1233">
        <f t="shared" si="6248"/>
        <v>0</v>
      </c>
      <c r="AE426" s="1233">
        <f t="shared" si="6219"/>
        <v>0</v>
      </c>
      <c r="AF426" s="1233">
        <f t="shared" si="6190"/>
        <v>0</v>
      </c>
      <c r="AG426" s="1233">
        <f t="shared" si="6161"/>
        <v>0</v>
      </c>
      <c r="AH426" s="1233">
        <f t="shared" si="6633" ref="AH426:AW441">$F$302</f>
        <v>0</v>
      </c>
      <c r="AI426" s="1233">
        <f t="shared" si="6598"/>
        <v>0</v>
      </c>
      <c r="AJ426" s="1233">
        <f t="shared" si="6564"/>
        <v>0</v>
      </c>
      <c r="AK426" s="1233">
        <f t="shared" si="6531"/>
        <v>0</v>
      </c>
      <c r="AL426" s="1233">
        <f t="shared" si="6499"/>
        <v>0</v>
      </c>
      <c r="AM426" s="1233">
        <f t="shared" si="6468"/>
        <v>0</v>
      </c>
      <c r="AN426" s="1233">
        <f t="shared" si="6438"/>
        <v>0</v>
      </c>
      <c r="AO426" s="1233">
        <f t="shared" si="6409"/>
        <v>0</v>
      </c>
      <c r="AP426" s="1233">
        <f t="shared" si="6380"/>
        <v>0</v>
      </c>
      <c r="AQ426" s="1233">
        <f t="shared" si="6351"/>
        <v>0</v>
      </c>
      <c r="AR426" s="1233">
        <f t="shared" si="6322"/>
        <v>0</v>
      </c>
      <c r="AS426" s="1233">
        <f t="shared" si="6293"/>
        <v>0</v>
      </c>
      <c r="AT426" s="1233">
        <f t="shared" si="6264"/>
        <v>0</v>
      </c>
      <c r="AU426" s="1233">
        <f t="shared" si="6235"/>
        <v>0</v>
      </c>
      <c r="AV426" s="1233">
        <f t="shared" si="6206"/>
        <v>0</v>
      </c>
      <c r="AW426" s="1233">
        <f t="shared" si="6177"/>
        <v>0</v>
      </c>
      <c r="AX426" s="1233">
        <f t="shared" si="6649" ref="AX426:BL440">$F$286</f>
        <v>0</v>
      </c>
      <c r="AY426" s="1233">
        <f t="shared" si="6614"/>
        <v>0</v>
      </c>
      <c r="AZ426" s="1233">
        <f t="shared" si="6580"/>
        <v>0</v>
      </c>
      <c r="BA426" s="1233">
        <f t="shared" si="6547"/>
        <v>0</v>
      </c>
      <c r="BB426" s="1233">
        <f t="shared" si="6515"/>
        <v>0</v>
      </c>
      <c r="BC426" s="1233">
        <f t="shared" si="6484"/>
        <v>0</v>
      </c>
      <c r="BD426" s="1233">
        <f t="shared" si="6454"/>
        <v>0</v>
      </c>
      <c r="BE426" s="1233">
        <f t="shared" si="6425"/>
        <v>0</v>
      </c>
      <c r="BF426" s="1233">
        <f t="shared" si="6396"/>
        <v>0</v>
      </c>
      <c r="BG426" s="1276">
        <v>0</v>
      </c>
      <c r="BH426" s="1184"/>
      <c r="BI426" s="1184"/>
      <c r="BJ426" s="1184"/>
      <c r="BK426" s="1184"/>
      <c r="BL426" s="208"/>
      <c r="BM426" s="1184"/>
      <c r="BN426" s="1184"/>
      <c r="BO426" s="1184"/>
      <c r="BP426" s="1184"/>
      <c r="BQ426" s="1184"/>
      <c r="BR426" s="1184"/>
      <c r="BS426" s="1184"/>
      <c r="BT426" s="1184"/>
      <c r="BU426" s="1184"/>
      <c r="BV426" s="1184"/>
      <c r="BW426" s="1184"/>
      <c r="BX426" s="1184"/>
      <c r="BY426" s="1184"/>
      <c r="BZ426" s="208"/>
      <c r="CA426" s="208"/>
      <c r="CB426" s="208"/>
      <c r="CC426" s="208"/>
      <c r="CD426" s="211"/>
    </row>
    <row r="427" ht="18" customHeight="1">
      <c r="A427" s="1284">
        <v>59</v>
      </c>
      <c r="B427" s="1233">
        <v>0</v>
      </c>
      <c r="C427" s="1233">
        <v>0</v>
      </c>
      <c r="D427" s="1233">
        <v>0</v>
      </c>
      <c r="E427" s="1233">
        <v>0</v>
      </c>
      <c r="F427" s="1233">
        <v>0</v>
      </c>
      <c r="G427" s="1233">
        <v>0</v>
      </c>
      <c r="H427" s="1233">
        <v>0</v>
      </c>
      <c r="I427" s="1233">
        <v>0</v>
      </c>
      <c r="J427" s="1233">
        <v>0</v>
      </c>
      <c r="K427" s="1233">
        <v>0</v>
      </c>
      <c r="L427" s="1233">
        <v>0</v>
      </c>
      <c r="M427" s="1233">
        <v>0</v>
      </c>
      <c r="N427" s="1233">
        <v>0</v>
      </c>
      <c r="O427" s="1233">
        <v>0</v>
      </c>
      <c r="P427" s="1233">
        <v>0</v>
      </c>
      <c r="Q427" s="1233">
        <v>0</v>
      </c>
      <c r="R427" s="1233">
        <v>0</v>
      </c>
      <c r="S427" s="1233">
        <v>0</v>
      </c>
      <c r="T427" s="1233">
        <v>0</v>
      </c>
      <c r="U427" s="1233">
        <v>0</v>
      </c>
      <c r="V427" s="1233">
        <v>0</v>
      </c>
      <c r="W427" s="1233">
        <f>$F$56</f>
        <v>0</v>
      </c>
      <c r="X427" s="1233">
        <f>$F$56</f>
        <v>0</v>
      </c>
      <c r="Y427" s="1233">
        <f>$F$56</f>
        <v>0</v>
      </c>
      <c r="Z427" s="1233">
        <f>$F$56</f>
        <v>0</v>
      </c>
      <c r="AA427" s="1233">
        <f>$F$56</f>
        <v>0</v>
      </c>
      <c r="AB427" s="1233">
        <f>$F$56</f>
        <v>0</v>
      </c>
      <c r="AC427" s="1233">
        <f>$F$56</f>
        <v>0</v>
      </c>
      <c r="AD427" s="1233">
        <f t="shared" si="6277"/>
        <v>0</v>
      </c>
      <c r="AE427" s="1233">
        <f t="shared" si="6248"/>
        <v>0</v>
      </c>
      <c r="AF427" s="1233">
        <f t="shared" si="6219"/>
        <v>0</v>
      </c>
      <c r="AG427" s="1233">
        <f t="shared" si="6190"/>
        <v>0</v>
      </c>
      <c r="AH427" s="1233">
        <f t="shared" si="6669" ref="AH427:AW442">$F$303</f>
        <v>0</v>
      </c>
      <c r="AI427" s="1233">
        <f t="shared" si="6633"/>
        <v>0</v>
      </c>
      <c r="AJ427" s="1233">
        <f t="shared" si="6598"/>
        <v>0</v>
      </c>
      <c r="AK427" s="1233">
        <f t="shared" si="6564"/>
        <v>0</v>
      </c>
      <c r="AL427" s="1233">
        <f t="shared" si="6531"/>
        <v>0</v>
      </c>
      <c r="AM427" s="1233">
        <f t="shared" si="6499"/>
        <v>0</v>
      </c>
      <c r="AN427" s="1233">
        <f t="shared" si="6468"/>
        <v>0</v>
      </c>
      <c r="AO427" s="1233">
        <f t="shared" si="6438"/>
        <v>0</v>
      </c>
      <c r="AP427" s="1233">
        <f t="shared" si="6409"/>
        <v>0</v>
      </c>
      <c r="AQ427" s="1233">
        <f t="shared" si="6380"/>
        <v>0</v>
      </c>
      <c r="AR427" s="1233">
        <f t="shared" si="6351"/>
        <v>0</v>
      </c>
      <c r="AS427" s="1233">
        <f t="shared" si="6322"/>
        <v>0</v>
      </c>
      <c r="AT427" s="1233">
        <f t="shared" si="6293"/>
        <v>0</v>
      </c>
      <c r="AU427" s="1233">
        <f t="shared" si="6264"/>
        <v>0</v>
      </c>
      <c r="AV427" s="1233">
        <f t="shared" si="6235"/>
        <v>0</v>
      </c>
      <c r="AW427" s="1233">
        <f t="shared" si="6206"/>
        <v>0</v>
      </c>
      <c r="AX427" s="1233">
        <f t="shared" si="6685" ref="AX427:BL441">$F$287</f>
        <v>0</v>
      </c>
      <c r="AY427" s="1233">
        <f t="shared" si="6649"/>
        <v>0</v>
      </c>
      <c r="AZ427" s="1233">
        <f t="shared" si="6614"/>
        <v>0</v>
      </c>
      <c r="BA427" s="1233">
        <f t="shared" si="6580"/>
        <v>0</v>
      </c>
      <c r="BB427" s="1233">
        <f t="shared" si="6547"/>
        <v>0</v>
      </c>
      <c r="BC427" s="1233">
        <f t="shared" si="6515"/>
        <v>0</v>
      </c>
      <c r="BD427" s="1233">
        <f t="shared" si="6484"/>
        <v>0</v>
      </c>
      <c r="BE427" s="1233">
        <f t="shared" si="6454"/>
        <v>0</v>
      </c>
      <c r="BF427" s="1233">
        <f t="shared" si="6425"/>
        <v>0</v>
      </c>
      <c r="BG427" s="1233">
        <f t="shared" si="6396"/>
        <v>0</v>
      </c>
      <c r="BH427" s="1276">
        <v>0</v>
      </c>
      <c r="BI427" s="1184"/>
      <c r="BJ427" s="1184"/>
      <c r="BK427" s="1184"/>
      <c r="BL427" s="208"/>
      <c r="BM427" s="1184"/>
      <c r="BN427" s="1184"/>
      <c r="BO427" s="1184"/>
      <c r="BP427" s="1184"/>
      <c r="BQ427" s="1184"/>
      <c r="BR427" s="1184"/>
      <c r="BS427" s="1184"/>
      <c r="BT427" s="1184"/>
      <c r="BU427" s="1184"/>
      <c r="BV427" s="1184"/>
      <c r="BW427" s="1184"/>
      <c r="BX427" s="1184"/>
      <c r="BY427" s="1184"/>
      <c r="BZ427" s="208"/>
      <c r="CA427" s="208"/>
      <c r="CB427" s="208"/>
      <c r="CC427" s="208"/>
      <c r="CD427" s="211"/>
    </row>
    <row r="428" ht="18" customHeight="1">
      <c r="A428" s="1284">
        <v>60</v>
      </c>
      <c r="B428" s="1233">
        <v>0</v>
      </c>
      <c r="C428" s="1233">
        <v>0</v>
      </c>
      <c r="D428" s="1233">
        <v>0</v>
      </c>
      <c r="E428" s="1233">
        <v>0</v>
      </c>
      <c r="F428" s="1233">
        <v>0</v>
      </c>
      <c r="G428" s="1233">
        <v>0</v>
      </c>
      <c r="H428" s="1233">
        <v>0</v>
      </c>
      <c r="I428" s="1233">
        <v>0</v>
      </c>
      <c r="J428" s="1233">
        <v>0</v>
      </c>
      <c r="K428" s="1233">
        <v>0</v>
      </c>
      <c r="L428" s="1233">
        <v>0</v>
      </c>
      <c r="M428" s="1233">
        <v>0</v>
      </c>
      <c r="N428" s="1233">
        <v>0</v>
      </c>
      <c r="O428" s="1233">
        <v>0</v>
      </c>
      <c r="P428" s="1233">
        <v>0</v>
      </c>
      <c r="Q428" s="1233">
        <v>0</v>
      </c>
      <c r="R428" s="1233">
        <v>0</v>
      </c>
      <c r="S428" s="1233">
        <v>0</v>
      </c>
      <c r="T428" s="1233">
        <v>0</v>
      </c>
      <c r="U428" s="1233">
        <v>0</v>
      </c>
      <c r="V428" s="1233">
        <v>0</v>
      </c>
      <c r="W428" s="1233">
        <f>$F$56</f>
        <v>0</v>
      </c>
      <c r="X428" s="1233">
        <f>$F$56</f>
        <v>0</v>
      </c>
      <c r="Y428" s="1233">
        <f>$F$56</f>
        <v>0</v>
      </c>
      <c r="Z428" s="1233">
        <f>$F$56</f>
        <v>0</v>
      </c>
      <c r="AA428" s="1233">
        <f>$F$56</f>
        <v>0</v>
      </c>
      <c r="AB428" s="1233">
        <f>$F$56</f>
        <v>0</v>
      </c>
      <c r="AC428" s="1233">
        <f>$F$56</f>
        <v>0</v>
      </c>
      <c r="AD428" s="1233">
        <f>$F$56</f>
        <v>0</v>
      </c>
      <c r="AE428" s="1233">
        <f t="shared" si="6277"/>
        <v>0</v>
      </c>
      <c r="AF428" s="1233">
        <f t="shared" si="6248"/>
        <v>0</v>
      </c>
      <c r="AG428" s="1233">
        <f t="shared" si="6219"/>
        <v>0</v>
      </c>
      <c r="AH428" s="1233">
        <f t="shared" si="6706" ref="AH428:AW443">$F$304</f>
        <v>0</v>
      </c>
      <c r="AI428" s="1233">
        <f t="shared" si="6669"/>
        <v>0</v>
      </c>
      <c r="AJ428" s="1233">
        <f t="shared" si="6633"/>
        <v>0</v>
      </c>
      <c r="AK428" s="1233">
        <f t="shared" si="6598"/>
        <v>0</v>
      </c>
      <c r="AL428" s="1233">
        <f t="shared" si="6564"/>
        <v>0</v>
      </c>
      <c r="AM428" s="1233">
        <f t="shared" si="6531"/>
        <v>0</v>
      </c>
      <c r="AN428" s="1233">
        <f t="shared" si="6499"/>
        <v>0</v>
      </c>
      <c r="AO428" s="1233">
        <f t="shared" si="6468"/>
        <v>0</v>
      </c>
      <c r="AP428" s="1233">
        <f t="shared" si="6438"/>
        <v>0</v>
      </c>
      <c r="AQ428" s="1233">
        <f t="shared" si="6409"/>
        <v>0</v>
      </c>
      <c r="AR428" s="1233">
        <f t="shared" si="6380"/>
        <v>0</v>
      </c>
      <c r="AS428" s="1233">
        <f t="shared" si="6351"/>
        <v>0</v>
      </c>
      <c r="AT428" s="1233">
        <f t="shared" si="6322"/>
        <v>0</v>
      </c>
      <c r="AU428" s="1233">
        <f t="shared" si="6293"/>
        <v>0</v>
      </c>
      <c r="AV428" s="1233">
        <f t="shared" si="6264"/>
        <v>0</v>
      </c>
      <c r="AW428" s="1233">
        <f t="shared" si="6235"/>
        <v>0</v>
      </c>
      <c r="AX428" s="1233">
        <f t="shared" si="6722" ref="AX428:BL442">$F$288</f>
        <v>0</v>
      </c>
      <c r="AY428" s="1233">
        <f t="shared" si="6685"/>
        <v>0</v>
      </c>
      <c r="AZ428" s="1233">
        <f t="shared" si="6649"/>
        <v>0</v>
      </c>
      <c r="BA428" s="1233">
        <f t="shared" si="6614"/>
        <v>0</v>
      </c>
      <c r="BB428" s="1233">
        <f t="shared" si="6580"/>
        <v>0</v>
      </c>
      <c r="BC428" s="1233">
        <f t="shared" si="6547"/>
        <v>0</v>
      </c>
      <c r="BD428" s="1233">
        <f t="shared" si="6515"/>
        <v>0</v>
      </c>
      <c r="BE428" s="1233">
        <f t="shared" si="6484"/>
        <v>0</v>
      </c>
      <c r="BF428" s="1233">
        <f t="shared" si="6454"/>
        <v>0</v>
      </c>
      <c r="BG428" s="1233">
        <f t="shared" si="6425"/>
        <v>0</v>
      </c>
      <c r="BH428" s="1233">
        <f t="shared" si="6396"/>
        <v>0</v>
      </c>
      <c r="BI428" s="1276">
        <v>0</v>
      </c>
      <c r="BJ428" s="1184"/>
      <c r="BK428" s="1184"/>
      <c r="BL428" s="208"/>
      <c r="BM428" s="1184"/>
      <c r="BN428" s="1184"/>
      <c r="BO428" s="1184"/>
      <c r="BP428" s="1184"/>
      <c r="BQ428" s="1184"/>
      <c r="BR428" s="1184"/>
      <c r="BS428" s="1184"/>
      <c r="BT428" s="1184"/>
      <c r="BU428" s="1184"/>
      <c r="BV428" s="1184"/>
      <c r="BW428" s="1184"/>
      <c r="BX428" s="1184"/>
      <c r="BY428" s="1184"/>
      <c r="BZ428" s="208"/>
      <c r="CA428" s="208"/>
      <c r="CB428" s="208"/>
      <c r="CC428" s="208"/>
      <c r="CD428" s="211"/>
    </row>
    <row r="429" ht="18" customHeight="1">
      <c r="A429" s="1284">
        <v>61</v>
      </c>
      <c r="B429" s="1233">
        <v>0</v>
      </c>
      <c r="C429" s="1233">
        <v>0</v>
      </c>
      <c r="D429" s="1233">
        <v>0</v>
      </c>
      <c r="E429" s="1233">
        <v>0</v>
      </c>
      <c r="F429" s="1233">
        <v>0</v>
      </c>
      <c r="G429" s="1233">
        <v>0</v>
      </c>
      <c r="H429" s="1233">
        <v>0</v>
      </c>
      <c r="I429" s="1233">
        <v>0</v>
      </c>
      <c r="J429" s="1233">
        <v>0</v>
      </c>
      <c r="K429" s="1233">
        <v>0</v>
      </c>
      <c r="L429" s="1233">
        <v>0</v>
      </c>
      <c r="M429" s="1233">
        <v>0</v>
      </c>
      <c r="N429" s="1233">
        <v>0</v>
      </c>
      <c r="O429" s="1233">
        <v>0</v>
      </c>
      <c r="P429" s="1233">
        <v>0</v>
      </c>
      <c r="Q429" s="1233">
        <v>0</v>
      </c>
      <c r="R429" s="1233">
        <v>0</v>
      </c>
      <c r="S429" s="1233">
        <v>0</v>
      </c>
      <c r="T429" s="1233">
        <v>0</v>
      </c>
      <c r="U429" s="1233">
        <v>0</v>
      </c>
      <c r="V429" s="1233">
        <v>0</v>
      </c>
      <c r="W429" s="1233">
        <f>$F$56</f>
        <v>0</v>
      </c>
      <c r="X429" s="1233">
        <f>$F$56</f>
        <v>0</v>
      </c>
      <c r="Y429" s="1233">
        <f>$F$56</f>
        <v>0</v>
      </c>
      <c r="Z429" s="1233">
        <f>$F$56</f>
        <v>0</v>
      </c>
      <c r="AA429" s="1233">
        <f>$F$56</f>
        <v>0</v>
      </c>
      <c r="AB429" s="1233">
        <f>$F$56</f>
        <v>0</v>
      </c>
      <c r="AC429" s="1233">
        <f>$F$56</f>
        <v>0</v>
      </c>
      <c r="AD429" s="1233">
        <f>$F$56</f>
        <v>0</v>
      </c>
      <c r="AE429" s="1233">
        <f>$F$56</f>
        <v>0</v>
      </c>
      <c r="AF429" s="1233">
        <f t="shared" si="6277"/>
        <v>0</v>
      </c>
      <c r="AG429" s="1233">
        <f t="shared" si="6248"/>
        <v>0</v>
      </c>
      <c r="AH429" s="1233">
        <f t="shared" si="6744" ref="AH429:AW444">$F$305</f>
        <v>0</v>
      </c>
      <c r="AI429" s="1233">
        <f t="shared" si="6706"/>
        <v>0</v>
      </c>
      <c r="AJ429" s="1233">
        <f t="shared" si="6669"/>
        <v>0</v>
      </c>
      <c r="AK429" s="1233">
        <f t="shared" si="6633"/>
        <v>0</v>
      </c>
      <c r="AL429" s="1233">
        <f t="shared" si="6598"/>
        <v>0</v>
      </c>
      <c r="AM429" s="1233">
        <f t="shared" si="6564"/>
        <v>0</v>
      </c>
      <c r="AN429" s="1233">
        <f t="shared" si="6531"/>
        <v>0</v>
      </c>
      <c r="AO429" s="1233">
        <f t="shared" si="6499"/>
        <v>0</v>
      </c>
      <c r="AP429" s="1233">
        <f t="shared" si="6468"/>
        <v>0</v>
      </c>
      <c r="AQ429" s="1233">
        <f t="shared" si="6438"/>
        <v>0</v>
      </c>
      <c r="AR429" s="1233">
        <f t="shared" si="6409"/>
        <v>0</v>
      </c>
      <c r="AS429" s="1233">
        <f t="shared" si="6380"/>
        <v>0</v>
      </c>
      <c r="AT429" s="1233">
        <f t="shared" si="6351"/>
        <v>0</v>
      </c>
      <c r="AU429" s="1233">
        <f t="shared" si="6322"/>
        <v>0</v>
      </c>
      <c r="AV429" s="1233">
        <f t="shared" si="6293"/>
        <v>0</v>
      </c>
      <c r="AW429" s="1233">
        <f t="shared" si="6264"/>
        <v>0</v>
      </c>
      <c r="AX429" s="1233">
        <f t="shared" si="6760" ref="AX429:BL443">$F$289</f>
        <v>0</v>
      </c>
      <c r="AY429" s="1233">
        <f t="shared" si="6722"/>
        <v>0</v>
      </c>
      <c r="AZ429" s="1233">
        <f t="shared" si="6685"/>
        <v>0</v>
      </c>
      <c r="BA429" s="1233">
        <f t="shared" si="6649"/>
        <v>0</v>
      </c>
      <c r="BB429" s="1233">
        <f t="shared" si="6614"/>
        <v>0</v>
      </c>
      <c r="BC429" s="1233">
        <f t="shared" si="6580"/>
        <v>0</v>
      </c>
      <c r="BD429" s="1233">
        <f t="shared" si="6547"/>
        <v>0</v>
      </c>
      <c r="BE429" s="1233">
        <f t="shared" si="6515"/>
        <v>0</v>
      </c>
      <c r="BF429" s="1233">
        <f t="shared" si="6484"/>
        <v>0</v>
      </c>
      <c r="BG429" s="1233">
        <f t="shared" si="6454"/>
        <v>0</v>
      </c>
      <c r="BH429" s="1233">
        <f t="shared" si="6425"/>
        <v>0</v>
      </c>
      <c r="BI429" s="1233">
        <f t="shared" si="6396"/>
        <v>0</v>
      </c>
      <c r="BJ429" s="1276">
        <v>0</v>
      </c>
      <c r="BK429" s="1184"/>
      <c r="BL429" s="208"/>
      <c r="BM429" s="1184"/>
      <c r="BN429" s="1184"/>
      <c r="BO429" s="1184"/>
      <c r="BP429" s="1184"/>
      <c r="BQ429" s="1184"/>
      <c r="BR429" s="1184"/>
      <c r="BS429" s="1184"/>
      <c r="BT429" s="1184"/>
      <c r="BU429" s="1184"/>
      <c r="BV429" s="1184"/>
      <c r="BW429" s="1184"/>
      <c r="BX429" s="1184"/>
      <c r="BY429" s="1184"/>
      <c r="BZ429" s="208"/>
      <c r="CA429" s="208"/>
      <c r="CB429" s="208"/>
      <c r="CC429" s="208"/>
      <c r="CD429" s="211"/>
    </row>
    <row r="430" ht="18" customHeight="1">
      <c r="A430" s="1284">
        <v>62</v>
      </c>
      <c r="B430" s="1233">
        <v>0</v>
      </c>
      <c r="C430" s="1233">
        <v>0</v>
      </c>
      <c r="D430" s="1233">
        <v>0</v>
      </c>
      <c r="E430" s="1233">
        <v>0</v>
      </c>
      <c r="F430" s="1233">
        <v>0</v>
      </c>
      <c r="G430" s="1233">
        <v>0</v>
      </c>
      <c r="H430" s="1233">
        <v>0</v>
      </c>
      <c r="I430" s="1233">
        <v>0</v>
      </c>
      <c r="J430" s="1233">
        <v>0</v>
      </c>
      <c r="K430" s="1233">
        <v>0</v>
      </c>
      <c r="L430" s="1233">
        <v>0</v>
      </c>
      <c r="M430" s="1233">
        <v>0</v>
      </c>
      <c r="N430" s="1233">
        <v>0</v>
      </c>
      <c r="O430" s="1233">
        <v>0</v>
      </c>
      <c r="P430" s="1233">
        <v>0</v>
      </c>
      <c r="Q430" s="1233">
        <v>0</v>
      </c>
      <c r="R430" s="1233">
        <v>0</v>
      </c>
      <c r="S430" s="1233">
        <v>0</v>
      </c>
      <c r="T430" s="1233">
        <v>0</v>
      </c>
      <c r="U430" s="1233">
        <v>0</v>
      </c>
      <c r="V430" s="1233">
        <v>0</v>
      </c>
      <c r="W430" s="1233">
        <f>$F$56</f>
        <v>0</v>
      </c>
      <c r="X430" s="1233">
        <f>$F$56</f>
        <v>0</v>
      </c>
      <c r="Y430" s="1233">
        <f>$F$56</f>
        <v>0</v>
      </c>
      <c r="Z430" s="1233">
        <f>$F$56</f>
        <v>0</v>
      </c>
      <c r="AA430" s="1233">
        <f>$F$56</f>
        <v>0</v>
      </c>
      <c r="AB430" s="1233">
        <f>$F$56</f>
        <v>0</v>
      </c>
      <c r="AC430" s="1233">
        <f>$F$56</f>
        <v>0</v>
      </c>
      <c r="AD430" s="1233">
        <f>$F$56</f>
        <v>0</v>
      </c>
      <c r="AE430" s="1233">
        <f>$F$56</f>
        <v>0</v>
      </c>
      <c r="AF430" s="1233">
        <f>$F$56</f>
        <v>0</v>
      </c>
      <c r="AG430" s="1233">
        <f t="shared" si="6277"/>
        <v>0</v>
      </c>
      <c r="AH430" s="1233">
        <f t="shared" si="6783" ref="AH430:AW445">$F$306</f>
        <v>0</v>
      </c>
      <c r="AI430" s="1233">
        <f t="shared" si="6744"/>
        <v>0</v>
      </c>
      <c r="AJ430" s="1233">
        <f t="shared" si="6706"/>
        <v>0</v>
      </c>
      <c r="AK430" s="1233">
        <f t="shared" si="6669"/>
        <v>0</v>
      </c>
      <c r="AL430" s="1233">
        <f t="shared" si="6633"/>
        <v>0</v>
      </c>
      <c r="AM430" s="1233">
        <f t="shared" si="6598"/>
        <v>0</v>
      </c>
      <c r="AN430" s="1233">
        <f t="shared" si="6564"/>
        <v>0</v>
      </c>
      <c r="AO430" s="1233">
        <f t="shared" si="6531"/>
        <v>0</v>
      </c>
      <c r="AP430" s="1233">
        <f t="shared" si="6499"/>
        <v>0</v>
      </c>
      <c r="AQ430" s="1233">
        <f t="shared" si="6468"/>
        <v>0</v>
      </c>
      <c r="AR430" s="1233">
        <f t="shared" si="6438"/>
        <v>0</v>
      </c>
      <c r="AS430" s="1233">
        <f t="shared" si="6409"/>
        <v>0</v>
      </c>
      <c r="AT430" s="1233">
        <f t="shared" si="6380"/>
        <v>0</v>
      </c>
      <c r="AU430" s="1233">
        <f t="shared" si="6351"/>
        <v>0</v>
      </c>
      <c r="AV430" s="1233">
        <f t="shared" si="6322"/>
        <v>0</v>
      </c>
      <c r="AW430" s="1233">
        <f t="shared" si="6293"/>
        <v>0</v>
      </c>
      <c r="AX430" s="1233">
        <f t="shared" si="6799" ref="AX430:BL444">$F$290</f>
        <v>0</v>
      </c>
      <c r="AY430" s="1233">
        <f t="shared" si="6760"/>
        <v>0</v>
      </c>
      <c r="AZ430" s="1233">
        <f t="shared" si="6722"/>
        <v>0</v>
      </c>
      <c r="BA430" s="1233">
        <f t="shared" si="6685"/>
        <v>0</v>
      </c>
      <c r="BB430" s="1233">
        <f t="shared" si="6649"/>
        <v>0</v>
      </c>
      <c r="BC430" s="1233">
        <f t="shared" si="6614"/>
        <v>0</v>
      </c>
      <c r="BD430" s="1233">
        <f t="shared" si="6580"/>
        <v>0</v>
      </c>
      <c r="BE430" s="1233">
        <f t="shared" si="6547"/>
        <v>0</v>
      </c>
      <c r="BF430" s="1233">
        <f t="shared" si="6515"/>
        <v>0</v>
      </c>
      <c r="BG430" s="1233">
        <f t="shared" si="6484"/>
        <v>0</v>
      </c>
      <c r="BH430" s="1233">
        <f t="shared" si="6454"/>
        <v>0</v>
      </c>
      <c r="BI430" s="1233">
        <f t="shared" si="6425"/>
        <v>0</v>
      </c>
      <c r="BJ430" s="1233">
        <f t="shared" si="6396"/>
        <v>0</v>
      </c>
      <c r="BK430" s="1276">
        <v>0</v>
      </c>
      <c r="BL430" s="208"/>
      <c r="BM430" s="1184"/>
      <c r="BN430" s="1184"/>
      <c r="BO430" s="1184"/>
      <c r="BP430" s="1184"/>
      <c r="BQ430" s="1184"/>
      <c r="BR430" s="1184"/>
      <c r="BS430" s="1184"/>
      <c r="BT430" s="1184"/>
      <c r="BU430" s="1184"/>
      <c r="BV430" s="1184"/>
      <c r="BW430" s="1184"/>
      <c r="BX430" s="1184"/>
      <c r="BY430" s="1184"/>
      <c r="BZ430" s="208"/>
      <c r="CA430" s="208"/>
      <c r="CB430" s="208"/>
      <c r="CC430" s="208"/>
      <c r="CD430" s="211"/>
    </row>
    <row r="431" ht="18" customHeight="1">
      <c r="A431" s="1284">
        <v>63</v>
      </c>
      <c r="B431" s="1233">
        <v>0</v>
      </c>
      <c r="C431" s="1233">
        <v>0</v>
      </c>
      <c r="D431" s="1233">
        <v>0</v>
      </c>
      <c r="E431" s="1233">
        <v>0</v>
      </c>
      <c r="F431" s="1233">
        <v>0</v>
      </c>
      <c r="G431" s="1233">
        <v>0</v>
      </c>
      <c r="H431" s="1233">
        <v>0</v>
      </c>
      <c r="I431" s="1233">
        <v>0</v>
      </c>
      <c r="J431" s="1233">
        <v>0</v>
      </c>
      <c r="K431" s="1233">
        <v>0</v>
      </c>
      <c r="L431" s="1233">
        <v>0</v>
      </c>
      <c r="M431" s="1233">
        <v>0</v>
      </c>
      <c r="N431" s="1233">
        <v>0</v>
      </c>
      <c r="O431" s="1233">
        <v>0</v>
      </c>
      <c r="P431" s="1233">
        <v>0</v>
      </c>
      <c r="Q431" s="1233">
        <v>0</v>
      </c>
      <c r="R431" s="1233">
        <v>0</v>
      </c>
      <c r="S431" s="1233">
        <v>0</v>
      </c>
      <c r="T431" s="1233">
        <v>0</v>
      </c>
      <c r="U431" s="1233">
        <v>0</v>
      </c>
      <c r="V431" s="1233">
        <v>0</v>
      </c>
      <c r="W431" s="1233">
        <f>$F$56</f>
        <v>0</v>
      </c>
      <c r="X431" s="1233">
        <f>$F$56</f>
        <v>0</v>
      </c>
      <c r="Y431" s="1233">
        <f>$F$56</f>
        <v>0</v>
      </c>
      <c r="Z431" s="1233">
        <f>$F$56</f>
        <v>0</v>
      </c>
      <c r="AA431" s="1233">
        <f>$F$56</f>
        <v>0</v>
      </c>
      <c r="AB431" s="1233">
        <f>$F$56</f>
        <v>0</v>
      </c>
      <c r="AC431" s="1233">
        <f>$F$56</f>
        <v>0</v>
      </c>
      <c r="AD431" s="1233">
        <f>$F$56</f>
        <v>0</v>
      </c>
      <c r="AE431" s="1233">
        <f>$F$56</f>
        <v>0</v>
      </c>
      <c r="AF431" s="1233">
        <f>$F$56</f>
        <v>0</v>
      </c>
      <c r="AG431" s="1233">
        <f>$F$56</f>
        <v>0</v>
      </c>
      <c r="AH431" s="1233">
        <f t="shared" si="6823" ref="AH431:AW446">$F$307</f>
        <v>0</v>
      </c>
      <c r="AI431" s="1233">
        <f t="shared" si="6783"/>
        <v>0</v>
      </c>
      <c r="AJ431" s="1233">
        <f t="shared" si="6744"/>
        <v>0</v>
      </c>
      <c r="AK431" s="1233">
        <f t="shared" si="6706"/>
        <v>0</v>
      </c>
      <c r="AL431" s="1233">
        <f t="shared" si="6669"/>
        <v>0</v>
      </c>
      <c r="AM431" s="1233">
        <f t="shared" si="6633"/>
        <v>0</v>
      </c>
      <c r="AN431" s="1233">
        <f t="shared" si="6598"/>
        <v>0</v>
      </c>
      <c r="AO431" s="1233">
        <f t="shared" si="6564"/>
        <v>0</v>
      </c>
      <c r="AP431" s="1233">
        <f t="shared" si="6531"/>
        <v>0</v>
      </c>
      <c r="AQ431" s="1233">
        <f t="shared" si="6499"/>
        <v>0</v>
      </c>
      <c r="AR431" s="1233">
        <f t="shared" si="6468"/>
        <v>0</v>
      </c>
      <c r="AS431" s="1233">
        <f t="shared" si="6438"/>
        <v>0</v>
      </c>
      <c r="AT431" s="1233">
        <f t="shared" si="6409"/>
        <v>0</v>
      </c>
      <c r="AU431" s="1233">
        <f t="shared" si="6380"/>
        <v>0</v>
      </c>
      <c r="AV431" s="1233">
        <f t="shared" si="6351"/>
        <v>0</v>
      </c>
      <c r="AW431" s="1233">
        <f t="shared" si="6322"/>
        <v>0</v>
      </c>
      <c r="AX431" s="1233">
        <f t="shared" si="6839" ref="AX431:BL445">$F$291</f>
        <v>0</v>
      </c>
      <c r="AY431" s="1233">
        <f t="shared" si="6799"/>
        <v>0</v>
      </c>
      <c r="AZ431" s="1233">
        <f t="shared" si="6760"/>
        <v>0</v>
      </c>
      <c r="BA431" s="1233">
        <f t="shared" si="6722"/>
        <v>0</v>
      </c>
      <c r="BB431" s="1233">
        <f t="shared" si="6685"/>
        <v>0</v>
      </c>
      <c r="BC431" s="1233">
        <f t="shared" si="6649"/>
        <v>0</v>
      </c>
      <c r="BD431" s="1233">
        <f t="shared" si="6614"/>
        <v>0</v>
      </c>
      <c r="BE431" s="1233">
        <f t="shared" si="6580"/>
        <v>0</v>
      </c>
      <c r="BF431" s="1233">
        <f t="shared" si="6547"/>
        <v>0</v>
      </c>
      <c r="BG431" s="1233">
        <f t="shared" si="6515"/>
        <v>0</v>
      </c>
      <c r="BH431" s="1233">
        <f t="shared" si="6484"/>
        <v>0</v>
      </c>
      <c r="BI431" s="1233">
        <f t="shared" si="6454"/>
        <v>0</v>
      </c>
      <c r="BJ431" s="1233">
        <f t="shared" si="6425"/>
        <v>0</v>
      </c>
      <c r="BK431" s="1233">
        <f t="shared" si="6396"/>
        <v>0</v>
      </c>
      <c r="BL431" s="1275">
        <v>0</v>
      </c>
      <c r="BM431" s="1184"/>
      <c r="BN431" s="1184"/>
      <c r="BO431" s="1184"/>
      <c r="BP431" s="1184"/>
      <c r="BQ431" s="1184"/>
      <c r="BR431" s="1184"/>
      <c r="BS431" s="1184"/>
      <c r="BT431" s="1184"/>
      <c r="BU431" s="1184"/>
      <c r="BV431" s="1184"/>
      <c r="BW431" s="1184"/>
      <c r="BX431" s="1184"/>
      <c r="BY431" s="1184"/>
      <c r="BZ431" s="208"/>
      <c r="CA431" s="208"/>
      <c r="CB431" s="208"/>
      <c r="CC431" s="208"/>
      <c r="CD431" s="211"/>
    </row>
    <row r="432" ht="18" customHeight="1">
      <c r="A432" s="207"/>
      <c r="B432" s="208"/>
      <c r="C432" s="208"/>
      <c r="D432" s="208"/>
      <c r="E432" s="208"/>
      <c r="F432" s="1185"/>
      <c r="G432" s="208"/>
      <c r="H432" s="208"/>
      <c r="I432" s="208"/>
      <c r="J432" s="208"/>
      <c r="K432" s="208"/>
      <c r="L432" s="208"/>
      <c r="M432" s="208"/>
      <c r="N432" s="1233"/>
      <c r="O432" s="1233"/>
      <c r="P432" s="1233"/>
      <c r="Q432" s="1233"/>
      <c r="R432" s="1233"/>
      <c r="S432" s="1233"/>
      <c r="T432" s="1233"/>
      <c r="U432" s="1233"/>
      <c r="V432" s="1233"/>
      <c r="W432" s="1233"/>
      <c r="X432" s="1233">
        <f>$F$56</f>
        <v>0</v>
      </c>
      <c r="Y432" s="1233">
        <f>$F$56</f>
        <v>0</v>
      </c>
      <c r="Z432" s="1233">
        <f>$F$56</f>
        <v>0</v>
      </c>
      <c r="AA432" s="1233">
        <f>$F$56</f>
        <v>0</v>
      </c>
      <c r="AB432" s="1233">
        <f>$F$56</f>
        <v>0</v>
      </c>
      <c r="AC432" s="1233">
        <f>$F$56</f>
        <v>0</v>
      </c>
      <c r="AD432" s="1233">
        <f>$F$56</f>
        <v>0</v>
      </c>
      <c r="AE432" s="1233">
        <f>$F$56</f>
        <v>0</v>
      </c>
      <c r="AF432" s="1233">
        <f>$F$56</f>
        <v>0</v>
      </c>
      <c r="AG432" s="1233">
        <f>$F$56</f>
        <v>0</v>
      </c>
      <c r="AH432" s="1233">
        <f>$F$56</f>
        <v>0</v>
      </c>
      <c r="AI432" s="1233">
        <f t="shared" si="6823"/>
        <v>0</v>
      </c>
      <c r="AJ432" s="1233">
        <f t="shared" si="6783"/>
        <v>0</v>
      </c>
      <c r="AK432" s="1233">
        <f t="shared" si="6744"/>
        <v>0</v>
      </c>
      <c r="AL432" s="1233">
        <f t="shared" si="6706"/>
        <v>0</v>
      </c>
      <c r="AM432" s="1233">
        <f t="shared" si="6669"/>
        <v>0</v>
      </c>
      <c r="AN432" s="1233">
        <f t="shared" si="6633"/>
        <v>0</v>
      </c>
      <c r="AO432" s="1233">
        <f t="shared" si="6598"/>
        <v>0</v>
      </c>
      <c r="AP432" s="1233">
        <f t="shared" si="6564"/>
        <v>0</v>
      </c>
      <c r="AQ432" s="1233">
        <f t="shared" si="6531"/>
        <v>0</v>
      </c>
      <c r="AR432" s="1233">
        <f t="shared" si="6499"/>
        <v>0</v>
      </c>
      <c r="AS432" s="1233">
        <f t="shared" si="6468"/>
        <v>0</v>
      </c>
      <c r="AT432" s="1233">
        <f t="shared" si="6438"/>
        <v>0</v>
      </c>
      <c r="AU432" s="1233">
        <f t="shared" si="6409"/>
        <v>0</v>
      </c>
      <c r="AV432" s="1233">
        <f t="shared" si="6380"/>
        <v>0</v>
      </c>
      <c r="AW432" s="1233">
        <f t="shared" si="6351"/>
        <v>0</v>
      </c>
      <c r="AX432" s="1233">
        <f t="shared" si="6879" ref="AX432:BL446">$F$292</f>
        <v>0</v>
      </c>
      <c r="AY432" s="1233">
        <f t="shared" si="6839"/>
        <v>0</v>
      </c>
      <c r="AZ432" s="1233">
        <f t="shared" si="6799"/>
        <v>0</v>
      </c>
      <c r="BA432" s="1233">
        <f t="shared" si="6760"/>
        <v>0</v>
      </c>
      <c r="BB432" s="1233">
        <f t="shared" si="6722"/>
        <v>0</v>
      </c>
      <c r="BC432" s="1233">
        <f t="shared" si="6685"/>
        <v>0</v>
      </c>
      <c r="BD432" s="1233">
        <f t="shared" si="6649"/>
        <v>0</v>
      </c>
      <c r="BE432" s="1233">
        <f t="shared" si="6614"/>
        <v>0</v>
      </c>
      <c r="BF432" s="1233">
        <f t="shared" si="6580"/>
        <v>0</v>
      </c>
      <c r="BG432" s="1233">
        <f t="shared" si="6547"/>
        <v>0</v>
      </c>
      <c r="BH432" s="1233">
        <f t="shared" si="6515"/>
        <v>0</v>
      </c>
      <c r="BI432" s="1233">
        <f t="shared" si="6484"/>
        <v>0</v>
      </c>
      <c r="BJ432" s="1233">
        <f t="shared" si="6454"/>
        <v>0</v>
      </c>
      <c r="BK432" s="1233">
        <f t="shared" si="6425"/>
        <v>0</v>
      </c>
      <c r="BL432" s="1233">
        <f t="shared" si="6396"/>
        <v>0</v>
      </c>
      <c r="BM432" s="1184"/>
      <c r="BN432" s="1184"/>
      <c r="BO432" s="1184"/>
      <c r="BP432" s="1184"/>
      <c r="BQ432" s="1184"/>
      <c r="BR432" s="1184"/>
      <c r="BS432" s="1184"/>
      <c r="BT432" s="1184"/>
      <c r="BU432" s="1184"/>
      <c r="BV432" s="1184"/>
      <c r="BW432" s="1184"/>
      <c r="BX432" s="1184"/>
      <c r="BY432" s="1184"/>
      <c r="BZ432" s="208"/>
      <c r="CA432" s="208"/>
      <c r="CB432" s="208"/>
      <c r="CC432" s="208"/>
      <c r="CD432" s="211"/>
    </row>
    <row r="433" ht="18" customHeight="1">
      <c r="A433" s="207"/>
      <c r="B433" s="208"/>
      <c r="C433" s="208"/>
      <c r="D433" s="208"/>
      <c r="E433" s="208"/>
      <c r="F433" s="1185"/>
      <c r="G433" s="208"/>
      <c r="H433" s="208"/>
      <c r="I433" s="208"/>
      <c r="J433" s="208"/>
      <c r="K433" s="208"/>
      <c r="L433" s="208"/>
      <c r="M433" s="208"/>
      <c r="N433" s="208"/>
      <c r="O433" s="1233"/>
      <c r="P433" s="1233"/>
      <c r="Q433" s="1233"/>
      <c r="R433" s="1233"/>
      <c r="S433" s="1233"/>
      <c r="T433" s="1233"/>
      <c r="U433" s="1233"/>
      <c r="V433" s="1233"/>
      <c r="W433" s="1233"/>
      <c r="X433" s="1233"/>
      <c r="Y433" s="1233">
        <f>$F$56</f>
        <v>0</v>
      </c>
      <c r="Z433" s="1233">
        <f>$F$56</f>
        <v>0</v>
      </c>
      <c r="AA433" s="1233">
        <f>$F$56</f>
        <v>0</v>
      </c>
      <c r="AB433" s="1233">
        <f>$F$56</f>
        <v>0</v>
      </c>
      <c r="AC433" s="1233">
        <f>$F$56</f>
        <v>0</v>
      </c>
      <c r="AD433" s="1233">
        <f>$F$56</f>
        <v>0</v>
      </c>
      <c r="AE433" s="1233">
        <f>$F$56</f>
        <v>0</v>
      </c>
      <c r="AF433" s="1233">
        <f>$F$56</f>
        <v>0</v>
      </c>
      <c r="AG433" s="1233">
        <f>$F$56</f>
        <v>0</v>
      </c>
      <c r="AH433" s="1233">
        <f>$F$56</f>
        <v>0</v>
      </c>
      <c r="AI433" s="1233">
        <f>$F$56</f>
        <v>0</v>
      </c>
      <c r="AJ433" s="1233">
        <f t="shared" si="6823"/>
        <v>0</v>
      </c>
      <c r="AK433" s="1233">
        <f t="shared" si="6783"/>
        <v>0</v>
      </c>
      <c r="AL433" s="1233">
        <f t="shared" si="6744"/>
        <v>0</v>
      </c>
      <c r="AM433" s="1233">
        <f t="shared" si="6706"/>
        <v>0</v>
      </c>
      <c r="AN433" s="1233">
        <f t="shared" si="6669"/>
        <v>0</v>
      </c>
      <c r="AO433" s="1233">
        <f t="shared" si="6633"/>
        <v>0</v>
      </c>
      <c r="AP433" s="1233">
        <f t="shared" si="6598"/>
        <v>0</v>
      </c>
      <c r="AQ433" s="1233">
        <f t="shared" si="6564"/>
        <v>0</v>
      </c>
      <c r="AR433" s="1233">
        <f t="shared" si="6531"/>
        <v>0</v>
      </c>
      <c r="AS433" s="1233">
        <f t="shared" si="6499"/>
        <v>0</v>
      </c>
      <c r="AT433" s="1233">
        <f t="shared" si="6468"/>
        <v>0</v>
      </c>
      <c r="AU433" s="1233">
        <f t="shared" si="6438"/>
        <v>0</v>
      </c>
      <c r="AV433" s="1233">
        <f t="shared" si="6409"/>
        <v>0</v>
      </c>
      <c r="AW433" s="1233">
        <f t="shared" si="6380"/>
        <v>0</v>
      </c>
      <c r="AX433" s="1233">
        <f t="shared" si="6919" ref="AX433:BL447">$F$293</f>
        <v>0</v>
      </c>
      <c r="AY433" s="1233">
        <f t="shared" si="6879"/>
        <v>0</v>
      </c>
      <c r="AZ433" s="1233">
        <f t="shared" si="6839"/>
        <v>0</v>
      </c>
      <c r="BA433" s="1233">
        <f t="shared" si="6799"/>
        <v>0</v>
      </c>
      <c r="BB433" s="1233">
        <f t="shared" si="6760"/>
        <v>0</v>
      </c>
      <c r="BC433" s="1233">
        <f t="shared" si="6722"/>
        <v>0</v>
      </c>
      <c r="BD433" s="1233">
        <f t="shared" si="6685"/>
        <v>0</v>
      </c>
      <c r="BE433" s="1233">
        <f t="shared" si="6649"/>
        <v>0</v>
      </c>
      <c r="BF433" s="1233">
        <f t="shared" si="6614"/>
        <v>0</v>
      </c>
      <c r="BG433" s="1233">
        <f t="shared" si="6580"/>
        <v>0</v>
      </c>
      <c r="BH433" s="1233">
        <f t="shared" si="6547"/>
        <v>0</v>
      </c>
      <c r="BI433" s="1233">
        <f t="shared" si="6515"/>
        <v>0</v>
      </c>
      <c r="BJ433" s="1233">
        <f t="shared" si="6484"/>
        <v>0</v>
      </c>
      <c r="BK433" s="1233">
        <f t="shared" si="6454"/>
        <v>0</v>
      </c>
      <c r="BL433" s="1233">
        <f t="shared" si="6425"/>
        <v>0</v>
      </c>
      <c r="BM433" s="1184"/>
      <c r="BN433" s="1184"/>
      <c r="BO433" s="1184"/>
      <c r="BP433" s="1184"/>
      <c r="BQ433" s="1184"/>
      <c r="BR433" s="1184"/>
      <c r="BS433" s="1184"/>
      <c r="BT433" s="1184"/>
      <c r="BU433" s="1184"/>
      <c r="BV433" s="1184"/>
      <c r="BW433" s="1184"/>
      <c r="BX433" s="1184"/>
      <c r="BY433" s="1184"/>
      <c r="BZ433" s="208"/>
      <c r="CA433" s="208"/>
      <c r="CB433" s="208"/>
      <c r="CC433" s="208"/>
      <c r="CD433" s="211"/>
    </row>
    <row r="434" ht="18" customHeight="1">
      <c r="A434" s="207"/>
      <c r="B434" s="208"/>
      <c r="C434" s="208"/>
      <c r="D434" s="208"/>
      <c r="E434" s="208"/>
      <c r="F434" s="1185"/>
      <c r="G434" s="208"/>
      <c r="H434" s="208"/>
      <c r="I434" s="208"/>
      <c r="J434" s="208"/>
      <c r="K434" s="208"/>
      <c r="L434" s="208"/>
      <c r="M434" s="208"/>
      <c r="N434" s="208"/>
      <c r="O434" s="208"/>
      <c r="P434" s="1233"/>
      <c r="Q434" s="1233"/>
      <c r="R434" s="1233"/>
      <c r="S434" s="1233"/>
      <c r="T434" s="1233"/>
      <c r="U434" s="1233"/>
      <c r="V434" s="1233"/>
      <c r="W434" s="1233"/>
      <c r="X434" s="1233"/>
      <c r="Y434" s="1233"/>
      <c r="Z434" s="1233">
        <f>$F$56</f>
        <v>0</v>
      </c>
      <c r="AA434" s="1233">
        <f>$F$56</f>
        <v>0</v>
      </c>
      <c r="AB434" s="1233">
        <f>$F$56</f>
        <v>0</v>
      </c>
      <c r="AC434" s="1233">
        <f>$F$56</f>
        <v>0</v>
      </c>
      <c r="AD434" s="1233">
        <f>$F$56</f>
        <v>0</v>
      </c>
      <c r="AE434" s="1233">
        <f>$F$56</f>
        <v>0</v>
      </c>
      <c r="AF434" s="1233">
        <f>$F$56</f>
        <v>0</v>
      </c>
      <c r="AG434" s="1233">
        <f>$F$56</f>
        <v>0</v>
      </c>
      <c r="AH434" s="1233">
        <f>$F$56</f>
        <v>0</v>
      </c>
      <c r="AI434" s="1233">
        <f>$F$56</f>
        <v>0</v>
      </c>
      <c r="AJ434" s="1233">
        <f>$F$56</f>
        <v>0</v>
      </c>
      <c r="AK434" s="1233">
        <f t="shared" si="6823"/>
        <v>0</v>
      </c>
      <c r="AL434" s="1233">
        <f t="shared" si="6783"/>
        <v>0</v>
      </c>
      <c r="AM434" s="1233">
        <f t="shared" si="6744"/>
        <v>0</v>
      </c>
      <c r="AN434" s="1233">
        <f t="shared" si="6706"/>
        <v>0</v>
      </c>
      <c r="AO434" s="1233">
        <f t="shared" si="6669"/>
        <v>0</v>
      </c>
      <c r="AP434" s="1233">
        <f t="shared" si="6633"/>
        <v>0</v>
      </c>
      <c r="AQ434" s="1233">
        <f t="shared" si="6598"/>
        <v>0</v>
      </c>
      <c r="AR434" s="1233">
        <f t="shared" si="6564"/>
        <v>0</v>
      </c>
      <c r="AS434" s="1233">
        <f t="shared" si="6531"/>
        <v>0</v>
      </c>
      <c r="AT434" s="1233">
        <f t="shared" si="6499"/>
        <v>0</v>
      </c>
      <c r="AU434" s="1233">
        <f t="shared" si="6468"/>
        <v>0</v>
      </c>
      <c r="AV434" s="1233">
        <f t="shared" si="6438"/>
        <v>0</v>
      </c>
      <c r="AW434" s="1233">
        <f t="shared" si="6409"/>
        <v>0</v>
      </c>
      <c r="AX434" s="1233">
        <f t="shared" si="6958" ref="AX434:BL448">$F$294</f>
        <v>0</v>
      </c>
      <c r="AY434" s="1233">
        <f t="shared" si="6919"/>
        <v>0</v>
      </c>
      <c r="AZ434" s="1233">
        <f t="shared" si="6879"/>
        <v>0</v>
      </c>
      <c r="BA434" s="1233">
        <f t="shared" si="6839"/>
        <v>0</v>
      </c>
      <c r="BB434" s="1233">
        <f t="shared" si="6799"/>
        <v>0</v>
      </c>
      <c r="BC434" s="1233">
        <f t="shared" si="6760"/>
        <v>0</v>
      </c>
      <c r="BD434" s="1233">
        <f t="shared" si="6722"/>
        <v>0</v>
      </c>
      <c r="BE434" s="1233">
        <f t="shared" si="6685"/>
        <v>0</v>
      </c>
      <c r="BF434" s="1233">
        <f t="shared" si="6649"/>
        <v>0</v>
      </c>
      <c r="BG434" s="1233">
        <f t="shared" si="6614"/>
        <v>0</v>
      </c>
      <c r="BH434" s="1233">
        <f t="shared" si="6580"/>
        <v>0</v>
      </c>
      <c r="BI434" s="1233">
        <f t="shared" si="6547"/>
        <v>0</v>
      </c>
      <c r="BJ434" s="1233">
        <f t="shared" si="6515"/>
        <v>0</v>
      </c>
      <c r="BK434" s="1233">
        <f t="shared" si="6484"/>
        <v>0</v>
      </c>
      <c r="BL434" s="1233">
        <f t="shared" si="6454"/>
        <v>0</v>
      </c>
      <c r="BM434" s="1184"/>
      <c r="BN434" s="1184"/>
      <c r="BO434" s="1184"/>
      <c r="BP434" s="1184"/>
      <c r="BQ434" s="1184"/>
      <c r="BR434" s="1184"/>
      <c r="BS434" s="1184"/>
      <c r="BT434" s="1184"/>
      <c r="BU434" s="1184"/>
      <c r="BV434" s="1184"/>
      <c r="BW434" s="1184"/>
      <c r="BX434" s="1184"/>
      <c r="BY434" s="1184"/>
      <c r="BZ434" s="208"/>
      <c r="CA434" s="208"/>
      <c r="CB434" s="208"/>
      <c r="CC434" s="208"/>
      <c r="CD434" s="211"/>
    </row>
    <row r="435" ht="18" customHeight="1">
      <c r="A435" s="207"/>
      <c r="B435" s="208"/>
      <c r="C435" s="208"/>
      <c r="D435" s="208"/>
      <c r="E435" s="208"/>
      <c r="F435" s="1185"/>
      <c r="G435" s="208"/>
      <c r="H435" s="208"/>
      <c r="I435" s="208"/>
      <c r="J435" s="208"/>
      <c r="K435" s="208"/>
      <c r="L435" s="208"/>
      <c r="M435" s="208"/>
      <c r="N435" s="208"/>
      <c r="O435" s="208"/>
      <c r="P435" s="208"/>
      <c r="Q435" s="1233"/>
      <c r="R435" s="1233"/>
      <c r="S435" s="1233"/>
      <c r="T435" s="1233"/>
      <c r="U435" s="1233"/>
      <c r="V435" s="1233"/>
      <c r="W435" s="1233"/>
      <c r="X435" s="1233"/>
      <c r="Y435" s="1233"/>
      <c r="Z435" s="1233"/>
      <c r="AA435" s="1233">
        <f>$F$56</f>
        <v>0</v>
      </c>
      <c r="AB435" s="1233">
        <f>$F$56</f>
        <v>0</v>
      </c>
      <c r="AC435" s="1233">
        <f>$F$56</f>
        <v>0</v>
      </c>
      <c r="AD435" s="1233">
        <f>$F$56</f>
        <v>0</v>
      </c>
      <c r="AE435" s="1233">
        <f>$F$56</f>
        <v>0</v>
      </c>
      <c r="AF435" s="1233">
        <f>$F$56</f>
        <v>0</v>
      </c>
      <c r="AG435" s="1233">
        <f>$F$56</f>
        <v>0</v>
      </c>
      <c r="AH435" s="1233">
        <f>$F$56</f>
        <v>0</v>
      </c>
      <c r="AI435" s="1233">
        <f>$F$56</f>
        <v>0</v>
      </c>
      <c r="AJ435" s="1233">
        <f>$F$56</f>
        <v>0</v>
      </c>
      <c r="AK435" s="1233">
        <f>$F$56</f>
        <v>0</v>
      </c>
      <c r="AL435" s="1233">
        <f t="shared" si="6823"/>
        <v>0</v>
      </c>
      <c r="AM435" s="1233">
        <f t="shared" si="6783"/>
        <v>0</v>
      </c>
      <c r="AN435" s="1233">
        <f t="shared" si="6744"/>
        <v>0</v>
      </c>
      <c r="AO435" s="1233">
        <f t="shared" si="6706"/>
        <v>0</v>
      </c>
      <c r="AP435" s="1233">
        <f t="shared" si="6669"/>
        <v>0</v>
      </c>
      <c r="AQ435" s="1233">
        <f t="shared" si="6633"/>
        <v>0</v>
      </c>
      <c r="AR435" s="1233">
        <f t="shared" si="6598"/>
        <v>0</v>
      </c>
      <c r="AS435" s="1233">
        <f t="shared" si="6564"/>
        <v>0</v>
      </c>
      <c r="AT435" s="1233">
        <f t="shared" si="6531"/>
        <v>0</v>
      </c>
      <c r="AU435" s="1233">
        <f t="shared" si="6499"/>
        <v>0</v>
      </c>
      <c r="AV435" s="1233">
        <f t="shared" si="6468"/>
        <v>0</v>
      </c>
      <c r="AW435" s="1233">
        <f t="shared" si="6438"/>
        <v>0</v>
      </c>
      <c r="AX435" s="1233">
        <f t="shared" si="6996" ref="AX435:BL449">$F$295</f>
        <v>0</v>
      </c>
      <c r="AY435" s="1233">
        <f t="shared" si="6958"/>
        <v>0</v>
      </c>
      <c r="AZ435" s="1233">
        <f t="shared" si="6919"/>
        <v>0</v>
      </c>
      <c r="BA435" s="1233">
        <f t="shared" si="6879"/>
        <v>0</v>
      </c>
      <c r="BB435" s="1233">
        <f t="shared" si="6839"/>
        <v>0</v>
      </c>
      <c r="BC435" s="1233">
        <f t="shared" si="6799"/>
        <v>0</v>
      </c>
      <c r="BD435" s="1233">
        <f t="shared" si="6760"/>
        <v>0</v>
      </c>
      <c r="BE435" s="1233">
        <f t="shared" si="6722"/>
        <v>0</v>
      </c>
      <c r="BF435" s="1233">
        <f t="shared" si="6685"/>
        <v>0</v>
      </c>
      <c r="BG435" s="1233">
        <f t="shared" si="6649"/>
        <v>0</v>
      </c>
      <c r="BH435" s="1233">
        <f t="shared" si="6614"/>
        <v>0</v>
      </c>
      <c r="BI435" s="1233">
        <f t="shared" si="6580"/>
        <v>0</v>
      </c>
      <c r="BJ435" s="1233">
        <f t="shared" si="6547"/>
        <v>0</v>
      </c>
      <c r="BK435" s="1233">
        <f t="shared" si="6515"/>
        <v>0</v>
      </c>
      <c r="BL435" s="1233">
        <f t="shared" si="6484"/>
        <v>0</v>
      </c>
      <c r="BM435" s="1184"/>
      <c r="BN435" s="1184"/>
      <c r="BO435" s="1184"/>
      <c r="BP435" s="1184"/>
      <c r="BQ435" s="1184"/>
      <c r="BR435" s="1184"/>
      <c r="BS435" s="1184"/>
      <c r="BT435" s="1184"/>
      <c r="BU435" s="1184"/>
      <c r="BV435" s="1184"/>
      <c r="BW435" s="1184"/>
      <c r="BX435" s="1184"/>
      <c r="BY435" s="1184"/>
      <c r="BZ435" s="208"/>
      <c r="CA435" s="208"/>
      <c r="CB435" s="208"/>
      <c r="CC435" s="208"/>
      <c r="CD435" s="211"/>
    </row>
    <row r="436" ht="18" customHeight="1">
      <c r="A436" s="207"/>
      <c r="B436" s="208"/>
      <c r="C436" s="208"/>
      <c r="D436" s="208"/>
      <c r="E436" s="208"/>
      <c r="F436" s="1185"/>
      <c r="G436" s="208"/>
      <c r="H436" s="208"/>
      <c r="I436" s="208"/>
      <c r="J436" s="208"/>
      <c r="K436" s="208"/>
      <c r="L436" s="208"/>
      <c r="M436" s="208"/>
      <c r="N436" s="208"/>
      <c r="O436" s="208"/>
      <c r="P436" s="208"/>
      <c r="Q436" s="208"/>
      <c r="R436" s="1233"/>
      <c r="S436" s="1233"/>
      <c r="T436" s="1233"/>
      <c r="U436" s="1233"/>
      <c r="V436" s="1233"/>
      <c r="W436" s="1233"/>
      <c r="X436" s="1233"/>
      <c r="Y436" s="1233"/>
      <c r="Z436" s="1233"/>
      <c r="AA436" s="1233"/>
      <c r="AB436" s="1233">
        <f>$F$56</f>
        <v>0</v>
      </c>
      <c r="AC436" s="1233">
        <f>$F$56</f>
        <v>0</v>
      </c>
      <c r="AD436" s="1233">
        <f>$F$56</f>
        <v>0</v>
      </c>
      <c r="AE436" s="1233">
        <f>$F$56</f>
        <v>0</v>
      </c>
      <c r="AF436" s="1233">
        <f>$F$56</f>
        <v>0</v>
      </c>
      <c r="AG436" s="1233">
        <f>$F$56</f>
        <v>0</v>
      </c>
      <c r="AH436" s="1233">
        <f>$F$56</f>
        <v>0</v>
      </c>
      <c r="AI436" s="1233">
        <f>$F$56</f>
        <v>0</v>
      </c>
      <c r="AJ436" s="1233">
        <f>$F$56</f>
        <v>0</v>
      </c>
      <c r="AK436" s="1233">
        <f>$F$56</f>
        <v>0</v>
      </c>
      <c r="AL436" s="1233">
        <f>$F$56</f>
        <v>0</v>
      </c>
      <c r="AM436" s="1233">
        <f t="shared" si="6823"/>
        <v>0</v>
      </c>
      <c r="AN436" s="1233">
        <f t="shared" si="6783"/>
        <v>0</v>
      </c>
      <c r="AO436" s="1233">
        <f t="shared" si="6744"/>
        <v>0</v>
      </c>
      <c r="AP436" s="1233">
        <f t="shared" si="6706"/>
        <v>0</v>
      </c>
      <c r="AQ436" s="1233">
        <f t="shared" si="6669"/>
        <v>0</v>
      </c>
      <c r="AR436" s="1233">
        <f t="shared" si="6633"/>
        <v>0</v>
      </c>
      <c r="AS436" s="1233">
        <f t="shared" si="6598"/>
        <v>0</v>
      </c>
      <c r="AT436" s="1233">
        <f t="shared" si="6564"/>
        <v>0</v>
      </c>
      <c r="AU436" s="1233">
        <f t="shared" si="6531"/>
        <v>0</v>
      </c>
      <c r="AV436" s="1233">
        <f t="shared" si="6499"/>
        <v>0</v>
      </c>
      <c r="AW436" s="1233">
        <f t="shared" si="6468"/>
        <v>0</v>
      </c>
      <c r="AX436" s="1233">
        <f t="shared" si="7033" ref="AX436:BL450">$F$296</f>
        <v>0</v>
      </c>
      <c r="AY436" s="1233">
        <f t="shared" si="6996"/>
        <v>0</v>
      </c>
      <c r="AZ436" s="1233">
        <f t="shared" si="6958"/>
        <v>0</v>
      </c>
      <c r="BA436" s="1233">
        <f t="shared" si="6919"/>
        <v>0</v>
      </c>
      <c r="BB436" s="1233">
        <f t="shared" si="6879"/>
        <v>0</v>
      </c>
      <c r="BC436" s="1233">
        <f t="shared" si="6839"/>
        <v>0</v>
      </c>
      <c r="BD436" s="1233">
        <f t="shared" si="6799"/>
        <v>0</v>
      </c>
      <c r="BE436" s="1233">
        <f t="shared" si="6760"/>
        <v>0</v>
      </c>
      <c r="BF436" s="1233">
        <f t="shared" si="6722"/>
        <v>0</v>
      </c>
      <c r="BG436" s="1233">
        <f t="shared" si="6685"/>
        <v>0</v>
      </c>
      <c r="BH436" s="1233">
        <f t="shared" si="6649"/>
        <v>0</v>
      </c>
      <c r="BI436" s="1233">
        <f t="shared" si="6614"/>
        <v>0</v>
      </c>
      <c r="BJ436" s="1233">
        <f t="shared" si="6580"/>
        <v>0</v>
      </c>
      <c r="BK436" s="1233">
        <f t="shared" si="6547"/>
        <v>0</v>
      </c>
      <c r="BL436" s="1233">
        <f t="shared" si="6515"/>
        <v>0</v>
      </c>
      <c r="BM436" s="1184"/>
      <c r="BN436" s="1184"/>
      <c r="BO436" s="1184"/>
      <c r="BP436" s="1184"/>
      <c r="BQ436" s="1184"/>
      <c r="BR436" s="1184"/>
      <c r="BS436" s="1184"/>
      <c r="BT436" s="1184"/>
      <c r="BU436" s="1184"/>
      <c r="BV436" s="1184"/>
      <c r="BW436" s="1184"/>
      <c r="BX436" s="1184"/>
      <c r="BY436" s="1184"/>
      <c r="BZ436" s="208"/>
      <c r="CA436" s="208"/>
      <c r="CB436" s="208"/>
      <c r="CC436" s="208"/>
      <c r="CD436" s="211"/>
    </row>
    <row r="437" ht="18" customHeight="1">
      <c r="A437" s="207"/>
      <c r="B437" s="208"/>
      <c r="C437" s="208"/>
      <c r="D437" s="208"/>
      <c r="E437" s="208"/>
      <c r="F437" s="1185"/>
      <c r="G437" s="208"/>
      <c r="H437" s="208"/>
      <c r="I437" s="208"/>
      <c r="J437" s="208"/>
      <c r="K437" s="208"/>
      <c r="L437" s="208"/>
      <c r="M437" s="208"/>
      <c r="N437" s="208"/>
      <c r="O437" s="208"/>
      <c r="P437" s="208"/>
      <c r="Q437" s="208"/>
      <c r="R437" s="208"/>
      <c r="S437" s="1233"/>
      <c r="T437" s="1233"/>
      <c r="U437" s="1233"/>
      <c r="V437" s="1233"/>
      <c r="W437" s="1233"/>
      <c r="X437" s="1233"/>
      <c r="Y437" s="1233"/>
      <c r="Z437" s="1233"/>
      <c r="AA437" s="1233"/>
      <c r="AB437" s="1233"/>
      <c r="AC437" s="1233">
        <f>$F$56</f>
        <v>0</v>
      </c>
      <c r="AD437" s="1233">
        <f>$F$56</f>
        <v>0</v>
      </c>
      <c r="AE437" s="1233">
        <f>$F$56</f>
        <v>0</v>
      </c>
      <c r="AF437" s="1233">
        <f>$F$56</f>
        <v>0</v>
      </c>
      <c r="AG437" s="1233">
        <f>$F$56</f>
        <v>0</v>
      </c>
      <c r="AH437" s="1233">
        <f>$F$56</f>
        <v>0</v>
      </c>
      <c r="AI437" s="1233">
        <f>$F$56</f>
        <v>0</v>
      </c>
      <c r="AJ437" s="1233">
        <f>$F$56</f>
        <v>0</v>
      </c>
      <c r="AK437" s="1233">
        <f>$F$56</f>
        <v>0</v>
      </c>
      <c r="AL437" s="1233">
        <f>$F$56</f>
        <v>0</v>
      </c>
      <c r="AM437" s="1233">
        <f>$F$56</f>
        <v>0</v>
      </c>
      <c r="AN437" s="1233">
        <f t="shared" si="6823"/>
        <v>0</v>
      </c>
      <c r="AO437" s="1233">
        <f t="shared" si="6783"/>
        <v>0</v>
      </c>
      <c r="AP437" s="1233">
        <f t="shared" si="6744"/>
        <v>0</v>
      </c>
      <c r="AQ437" s="1233">
        <f t="shared" si="6706"/>
        <v>0</v>
      </c>
      <c r="AR437" s="1233">
        <f t="shared" si="6669"/>
        <v>0</v>
      </c>
      <c r="AS437" s="1233">
        <f t="shared" si="6633"/>
        <v>0</v>
      </c>
      <c r="AT437" s="1233">
        <f t="shared" si="6598"/>
        <v>0</v>
      </c>
      <c r="AU437" s="1233">
        <f t="shared" si="6564"/>
        <v>0</v>
      </c>
      <c r="AV437" s="1233">
        <f t="shared" si="6531"/>
        <v>0</v>
      </c>
      <c r="AW437" s="1233">
        <f t="shared" si="6499"/>
        <v>0</v>
      </c>
      <c r="AX437" s="1233">
        <f t="shared" si="7069" ref="AX437:BL451">$F$297</f>
        <v>0</v>
      </c>
      <c r="AY437" s="1233">
        <f t="shared" si="7033"/>
        <v>0</v>
      </c>
      <c r="AZ437" s="1233">
        <f t="shared" si="6996"/>
        <v>0</v>
      </c>
      <c r="BA437" s="1233">
        <f t="shared" si="6958"/>
        <v>0</v>
      </c>
      <c r="BB437" s="1233">
        <f t="shared" si="6919"/>
        <v>0</v>
      </c>
      <c r="BC437" s="1233">
        <f t="shared" si="6879"/>
        <v>0</v>
      </c>
      <c r="BD437" s="1233">
        <f t="shared" si="6839"/>
        <v>0</v>
      </c>
      <c r="BE437" s="1233">
        <f t="shared" si="6799"/>
        <v>0</v>
      </c>
      <c r="BF437" s="1233">
        <f t="shared" si="6760"/>
        <v>0</v>
      </c>
      <c r="BG437" s="1233">
        <f t="shared" si="6722"/>
        <v>0</v>
      </c>
      <c r="BH437" s="1233">
        <f t="shared" si="6685"/>
        <v>0</v>
      </c>
      <c r="BI437" s="1233">
        <f t="shared" si="6649"/>
        <v>0</v>
      </c>
      <c r="BJ437" s="1233">
        <f t="shared" si="6614"/>
        <v>0</v>
      </c>
      <c r="BK437" s="1233">
        <f t="shared" si="6580"/>
        <v>0</v>
      </c>
      <c r="BL437" s="1233">
        <f t="shared" si="6547"/>
        <v>0</v>
      </c>
      <c r="BM437" s="1184"/>
      <c r="BN437" s="1184"/>
      <c r="BO437" s="1184"/>
      <c r="BP437" s="1184"/>
      <c r="BQ437" s="1184"/>
      <c r="BR437" s="1184"/>
      <c r="BS437" s="1184"/>
      <c r="BT437" s="1184"/>
      <c r="BU437" s="1184"/>
      <c r="BV437" s="1184"/>
      <c r="BW437" s="1184"/>
      <c r="BX437" s="1184"/>
      <c r="BY437" s="1184"/>
      <c r="BZ437" s="208"/>
      <c r="CA437" s="208"/>
      <c r="CB437" s="208"/>
      <c r="CC437" s="208"/>
      <c r="CD437" s="211"/>
    </row>
    <row r="438" ht="18" customHeight="1">
      <c r="A438" s="207"/>
      <c r="B438" s="208"/>
      <c r="C438" s="208"/>
      <c r="D438" s="208"/>
      <c r="E438" s="208"/>
      <c r="F438" s="1185"/>
      <c r="G438" s="208"/>
      <c r="H438" s="208"/>
      <c r="I438" s="208"/>
      <c r="J438" s="208"/>
      <c r="K438" s="208"/>
      <c r="L438" s="208"/>
      <c r="M438" s="208"/>
      <c r="N438" s="208"/>
      <c r="O438" s="208"/>
      <c r="P438" s="208"/>
      <c r="Q438" s="208"/>
      <c r="R438" s="208"/>
      <c r="S438" s="208"/>
      <c r="T438" s="1233"/>
      <c r="U438" s="1233"/>
      <c r="V438" s="1233"/>
      <c r="W438" s="1233"/>
      <c r="X438" s="1233"/>
      <c r="Y438" s="1233"/>
      <c r="Z438" s="1233"/>
      <c r="AA438" s="1233"/>
      <c r="AB438" s="1233"/>
      <c r="AC438" s="1233"/>
      <c r="AD438" s="1233">
        <f>$F$56</f>
        <v>0</v>
      </c>
      <c r="AE438" s="1233">
        <f>$F$56</f>
        <v>0</v>
      </c>
      <c r="AF438" s="1233">
        <f>$F$56</f>
        <v>0</v>
      </c>
      <c r="AG438" s="1233">
        <f>$F$56</f>
        <v>0</v>
      </c>
      <c r="AH438" s="1233">
        <f>$F$56</f>
        <v>0</v>
      </c>
      <c r="AI438" s="1233">
        <f>$F$56</f>
        <v>0</v>
      </c>
      <c r="AJ438" s="1233">
        <f>$F$56</f>
        <v>0</v>
      </c>
      <c r="AK438" s="1233">
        <f>$F$56</f>
        <v>0</v>
      </c>
      <c r="AL438" s="1233">
        <f>$F$56</f>
        <v>0</v>
      </c>
      <c r="AM438" s="1233">
        <f>$F$56</f>
        <v>0</v>
      </c>
      <c r="AN438" s="1233">
        <f>$F$56</f>
        <v>0</v>
      </c>
      <c r="AO438" s="1233">
        <f t="shared" si="6823"/>
        <v>0</v>
      </c>
      <c r="AP438" s="1233">
        <f t="shared" si="6783"/>
        <v>0</v>
      </c>
      <c r="AQ438" s="1233">
        <f t="shared" si="6744"/>
        <v>0</v>
      </c>
      <c r="AR438" s="1233">
        <f t="shared" si="6706"/>
        <v>0</v>
      </c>
      <c r="AS438" s="1233">
        <f t="shared" si="6669"/>
        <v>0</v>
      </c>
      <c r="AT438" s="1233">
        <f t="shared" si="6633"/>
        <v>0</v>
      </c>
      <c r="AU438" s="1233">
        <f t="shared" si="6598"/>
        <v>0</v>
      </c>
      <c r="AV438" s="1233">
        <f t="shared" si="6564"/>
        <v>0</v>
      </c>
      <c r="AW438" s="1233">
        <f t="shared" si="6531"/>
        <v>0</v>
      </c>
      <c r="AX438" s="1233">
        <f t="shared" si="7104" ref="AX438:BL452">$F$298</f>
        <v>0</v>
      </c>
      <c r="AY438" s="1233">
        <f t="shared" si="7069"/>
        <v>0</v>
      </c>
      <c r="AZ438" s="1233">
        <f t="shared" si="7033"/>
        <v>0</v>
      </c>
      <c r="BA438" s="1233">
        <f t="shared" si="6996"/>
        <v>0</v>
      </c>
      <c r="BB438" s="1233">
        <f t="shared" si="6958"/>
        <v>0</v>
      </c>
      <c r="BC438" s="1233">
        <f t="shared" si="6919"/>
        <v>0</v>
      </c>
      <c r="BD438" s="1233">
        <f t="shared" si="6879"/>
        <v>0</v>
      </c>
      <c r="BE438" s="1233">
        <f t="shared" si="6839"/>
        <v>0</v>
      </c>
      <c r="BF438" s="1233">
        <f t="shared" si="6799"/>
        <v>0</v>
      </c>
      <c r="BG438" s="1233">
        <f t="shared" si="6760"/>
        <v>0</v>
      </c>
      <c r="BH438" s="1233">
        <f t="shared" si="6722"/>
        <v>0</v>
      </c>
      <c r="BI438" s="1233">
        <f t="shared" si="6685"/>
        <v>0</v>
      </c>
      <c r="BJ438" s="1233">
        <f t="shared" si="6649"/>
        <v>0</v>
      </c>
      <c r="BK438" s="1233">
        <f t="shared" si="6614"/>
        <v>0</v>
      </c>
      <c r="BL438" s="1233">
        <f t="shared" si="6580"/>
        <v>0</v>
      </c>
      <c r="BM438" s="1184"/>
      <c r="BN438" s="1184"/>
      <c r="BO438" s="1184"/>
      <c r="BP438" s="1184"/>
      <c r="BQ438" s="1184"/>
      <c r="BR438" s="1184"/>
      <c r="BS438" s="1184"/>
      <c r="BT438" s="1184"/>
      <c r="BU438" s="1184"/>
      <c r="BV438" s="1184"/>
      <c r="BW438" s="1184"/>
      <c r="BX438" s="1184"/>
      <c r="BY438" s="1184"/>
      <c r="BZ438" s="208"/>
      <c r="CA438" s="208"/>
      <c r="CB438" s="208"/>
      <c r="CC438" s="208"/>
      <c r="CD438" s="211"/>
    </row>
    <row r="439" ht="18" customHeight="1">
      <c r="A439" s="207"/>
      <c r="B439" s="208"/>
      <c r="C439" s="208"/>
      <c r="D439" s="208"/>
      <c r="E439" s="208"/>
      <c r="F439" s="1185"/>
      <c r="G439" s="208"/>
      <c r="H439" s="208"/>
      <c r="I439" s="208"/>
      <c r="J439" s="208"/>
      <c r="K439" s="208"/>
      <c r="L439" s="208"/>
      <c r="M439" s="208"/>
      <c r="N439" s="208"/>
      <c r="O439" s="208"/>
      <c r="P439" s="208"/>
      <c r="Q439" s="208"/>
      <c r="R439" s="208"/>
      <c r="S439" s="208"/>
      <c r="T439" s="208"/>
      <c r="U439" s="1233"/>
      <c r="V439" s="1233"/>
      <c r="W439" s="1233"/>
      <c r="X439" s="1233"/>
      <c r="Y439" s="1233"/>
      <c r="Z439" s="1233"/>
      <c r="AA439" s="1233"/>
      <c r="AB439" s="1233"/>
      <c r="AC439" s="1233"/>
      <c r="AD439" s="1233"/>
      <c r="AE439" s="1233">
        <f>$F$56</f>
        <v>0</v>
      </c>
      <c r="AF439" s="1233">
        <f>$F$56</f>
        <v>0</v>
      </c>
      <c r="AG439" s="1233">
        <f>$F$56</f>
        <v>0</v>
      </c>
      <c r="AH439" s="1233">
        <f>$F$56</f>
        <v>0</v>
      </c>
      <c r="AI439" s="1233">
        <f>$F$56</f>
        <v>0</v>
      </c>
      <c r="AJ439" s="1233">
        <f>$F$56</f>
        <v>0</v>
      </c>
      <c r="AK439" s="1233">
        <f>$F$56</f>
        <v>0</v>
      </c>
      <c r="AL439" s="1233">
        <f>$F$56</f>
        <v>0</v>
      </c>
      <c r="AM439" s="1233">
        <f>$F$56</f>
        <v>0</v>
      </c>
      <c r="AN439" s="1233">
        <f>$F$56</f>
        <v>0</v>
      </c>
      <c r="AO439" s="1233">
        <f>$F$56</f>
        <v>0</v>
      </c>
      <c r="AP439" s="1233">
        <f t="shared" si="6823"/>
        <v>0</v>
      </c>
      <c r="AQ439" s="1233">
        <f t="shared" si="6783"/>
        <v>0</v>
      </c>
      <c r="AR439" s="1233">
        <f t="shared" si="6744"/>
        <v>0</v>
      </c>
      <c r="AS439" s="1233">
        <f t="shared" si="6706"/>
        <v>0</v>
      </c>
      <c r="AT439" s="1233">
        <f t="shared" si="6669"/>
        <v>0</v>
      </c>
      <c r="AU439" s="1233">
        <f t="shared" si="6633"/>
        <v>0</v>
      </c>
      <c r="AV439" s="1233">
        <f t="shared" si="6598"/>
        <v>0</v>
      </c>
      <c r="AW439" s="1233">
        <f t="shared" si="6564"/>
        <v>0</v>
      </c>
      <c r="AX439" s="1233">
        <f t="shared" si="7138" ref="AX439:BL453">$F$299</f>
        <v>0</v>
      </c>
      <c r="AY439" s="1233">
        <f t="shared" si="7104"/>
        <v>0</v>
      </c>
      <c r="AZ439" s="1233">
        <f t="shared" si="7069"/>
        <v>0</v>
      </c>
      <c r="BA439" s="1233">
        <f t="shared" si="7033"/>
        <v>0</v>
      </c>
      <c r="BB439" s="1233">
        <f t="shared" si="6996"/>
        <v>0</v>
      </c>
      <c r="BC439" s="1233">
        <f t="shared" si="6958"/>
        <v>0</v>
      </c>
      <c r="BD439" s="1233">
        <f t="shared" si="6919"/>
        <v>0</v>
      </c>
      <c r="BE439" s="1233">
        <f t="shared" si="6879"/>
        <v>0</v>
      </c>
      <c r="BF439" s="1233">
        <f t="shared" si="6839"/>
        <v>0</v>
      </c>
      <c r="BG439" s="1233">
        <f t="shared" si="6799"/>
        <v>0</v>
      </c>
      <c r="BH439" s="1233">
        <f t="shared" si="6760"/>
        <v>0</v>
      </c>
      <c r="BI439" s="1233">
        <f t="shared" si="6722"/>
        <v>0</v>
      </c>
      <c r="BJ439" s="1233">
        <f t="shared" si="6685"/>
        <v>0</v>
      </c>
      <c r="BK439" s="1233">
        <f t="shared" si="6649"/>
        <v>0</v>
      </c>
      <c r="BL439" s="1233">
        <f t="shared" si="6614"/>
        <v>0</v>
      </c>
      <c r="BM439" s="1184"/>
      <c r="BN439" s="1184"/>
      <c r="BO439" s="1184"/>
      <c r="BP439" s="1184"/>
      <c r="BQ439" s="1184"/>
      <c r="BR439" s="1184"/>
      <c r="BS439" s="1184"/>
      <c r="BT439" s="1184"/>
      <c r="BU439" s="1184"/>
      <c r="BV439" s="1184"/>
      <c r="BW439" s="1184"/>
      <c r="BX439" s="1184"/>
      <c r="BY439" s="1184"/>
      <c r="BZ439" s="208"/>
      <c r="CA439" s="208"/>
      <c r="CB439" s="208"/>
      <c r="CC439" s="208"/>
      <c r="CD439" s="211"/>
    </row>
    <row r="440" ht="18" customHeight="1">
      <c r="A440" s="207"/>
      <c r="B440" s="208"/>
      <c r="C440" s="208"/>
      <c r="D440" s="208"/>
      <c r="E440" s="208"/>
      <c r="F440" s="1185"/>
      <c r="G440" s="208"/>
      <c r="H440" s="208"/>
      <c r="I440" s="208"/>
      <c r="J440" s="208"/>
      <c r="K440" s="208"/>
      <c r="L440" s="208"/>
      <c r="M440" s="208"/>
      <c r="N440" s="208"/>
      <c r="O440" s="208"/>
      <c r="P440" s="208"/>
      <c r="Q440" s="208"/>
      <c r="R440" s="208"/>
      <c r="S440" s="208"/>
      <c r="T440" s="208"/>
      <c r="U440" s="208"/>
      <c r="V440" s="1233"/>
      <c r="W440" s="1233"/>
      <c r="X440" s="1233"/>
      <c r="Y440" s="1233"/>
      <c r="Z440" s="1233"/>
      <c r="AA440" s="1233"/>
      <c r="AB440" s="1233"/>
      <c r="AC440" s="1233"/>
      <c r="AD440" s="1233"/>
      <c r="AE440" s="1233"/>
      <c r="AF440" s="1233">
        <f>$F$56</f>
        <v>0</v>
      </c>
      <c r="AG440" s="1233">
        <f>$F$56</f>
        <v>0</v>
      </c>
      <c r="AH440" s="1233">
        <f>$F$56</f>
        <v>0</v>
      </c>
      <c r="AI440" s="1233">
        <f>$F$56</f>
        <v>0</v>
      </c>
      <c r="AJ440" s="1233">
        <f>$F$56</f>
        <v>0</v>
      </c>
      <c r="AK440" s="1233">
        <f>$F$56</f>
        <v>0</v>
      </c>
      <c r="AL440" s="1233">
        <f>$F$56</f>
        <v>0</v>
      </c>
      <c r="AM440" s="1233">
        <f>$F$56</f>
        <v>0</v>
      </c>
      <c r="AN440" s="1233">
        <f>$F$56</f>
        <v>0</v>
      </c>
      <c r="AO440" s="1233">
        <f>$F$56</f>
        <v>0</v>
      </c>
      <c r="AP440" s="1233">
        <f>$F$56</f>
        <v>0</v>
      </c>
      <c r="AQ440" s="1233">
        <f t="shared" si="6823"/>
        <v>0</v>
      </c>
      <c r="AR440" s="1233">
        <f t="shared" si="6783"/>
        <v>0</v>
      </c>
      <c r="AS440" s="1233">
        <f t="shared" si="6744"/>
        <v>0</v>
      </c>
      <c r="AT440" s="1233">
        <f t="shared" si="6706"/>
        <v>0</v>
      </c>
      <c r="AU440" s="1233">
        <f t="shared" si="6669"/>
        <v>0</v>
      </c>
      <c r="AV440" s="1233">
        <f t="shared" si="6633"/>
        <v>0</v>
      </c>
      <c r="AW440" s="1233">
        <f t="shared" si="6598"/>
        <v>0</v>
      </c>
      <c r="AX440" s="1233">
        <f t="shared" si="7171" ref="AX440:BL454">$F$300</f>
        <v>0</v>
      </c>
      <c r="AY440" s="1233">
        <f t="shared" si="7138"/>
        <v>0</v>
      </c>
      <c r="AZ440" s="1233">
        <f t="shared" si="7104"/>
        <v>0</v>
      </c>
      <c r="BA440" s="1233">
        <f t="shared" si="7069"/>
        <v>0</v>
      </c>
      <c r="BB440" s="1233">
        <f t="shared" si="7033"/>
        <v>0</v>
      </c>
      <c r="BC440" s="1233">
        <f t="shared" si="6996"/>
        <v>0</v>
      </c>
      <c r="BD440" s="1233">
        <f t="shared" si="6958"/>
        <v>0</v>
      </c>
      <c r="BE440" s="1233">
        <f t="shared" si="6919"/>
        <v>0</v>
      </c>
      <c r="BF440" s="1233">
        <f t="shared" si="6879"/>
        <v>0</v>
      </c>
      <c r="BG440" s="1233">
        <f t="shared" si="6839"/>
        <v>0</v>
      </c>
      <c r="BH440" s="1233">
        <f t="shared" si="6799"/>
        <v>0</v>
      </c>
      <c r="BI440" s="1233">
        <f t="shared" si="6760"/>
        <v>0</v>
      </c>
      <c r="BJ440" s="1233">
        <f t="shared" si="6722"/>
        <v>0</v>
      </c>
      <c r="BK440" s="1233">
        <f t="shared" si="6685"/>
        <v>0</v>
      </c>
      <c r="BL440" s="1233">
        <f t="shared" si="6649"/>
        <v>0</v>
      </c>
      <c r="BM440" s="1184"/>
      <c r="BN440" s="1184"/>
      <c r="BO440" s="1184"/>
      <c r="BP440" s="1184"/>
      <c r="BQ440" s="1184"/>
      <c r="BR440" s="1184"/>
      <c r="BS440" s="1184"/>
      <c r="BT440" s="1184"/>
      <c r="BU440" s="1184"/>
      <c r="BV440" s="1184"/>
      <c r="BW440" s="1184"/>
      <c r="BX440" s="1184"/>
      <c r="BY440" s="1184"/>
      <c r="BZ440" s="208"/>
      <c r="CA440" s="208"/>
      <c r="CB440" s="208"/>
      <c r="CC440" s="208"/>
      <c r="CD440" s="211"/>
    </row>
    <row r="441" ht="18" customHeight="1">
      <c r="A441" s="207"/>
      <c r="B441" s="208"/>
      <c r="C441" s="208"/>
      <c r="D441" s="208"/>
      <c r="E441" s="208"/>
      <c r="F441" s="1185"/>
      <c r="G441" s="208"/>
      <c r="H441" s="208"/>
      <c r="I441" s="208"/>
      <c r="J441" s="208"/>
      <c r="K441" s="208"/>
      <c r="L441" s="208"/>
      <c r="M441" s="208"/>
      <c r="N441" s="208"/>
      <c r="O441" s="208"/>
      <c r="P441" s="208"/>
      <c r="Q441" s="208"/>
      <c r="R441" s="208"/>
      <c r="S441" s="208"/>
      <c r="T441" s="208"/>
      <c r="U441" s="208"/>
      <c r="V441" s="208"/>
      <c r="W441" s="1233"/>
      <c r="X441" s="1233"/>
      <c r="Y441" s="1233"/>
      <c r="Z441" s="1233"/>
      <c r="AA441" s="1233"/>
      <c r="AB441" s="1233"/>
      <c r="AC441" s="1233"/>
      <c r="AD441" s="1233"/>
      <c r="AE441" s="1233"/>
      <c r="AF441" s="1233"/>
      <c r="AG441" s="1233">
        <f>$F$56</f>
        <v>0</v>
      </c>
      <c r="AH441" s="1233">
        <f>$F$56</f>
        <v>0</v>
      </c>
      <c r="AI441" s="1233">
        <f>$F$56</f>
        <v>0</v>
      </c>
      <c r="AJ441" s="1233">
        <f>$F$56</f>
        <v>0</v>
      </c>
      <c r="AK441" s="1233">
        <f>$F$56</f>
        <v>0</v>
      </c>
      <c r="AL441" s="1233">
        <f>$F$56</f>
        <v>0</v>
      </c>
      <c r="AM441" s="1233">
        <f>$F$56</f>
        <v>0</v>
      </c>
      <c r="AN441" s="1233">
        <f>$F$56</f>
        <v>0</v>
      </c>
      <c r="AO441" s="1233">
        <f>$F$56</f>
        <v>0</v>
      </c>
      <c r="AP441" s="1233">
        <f>$F$56</f>
        <v>0</v>
      </c>
      <c r="AQ441" s="1233">
        <f>$F$56</f>
        <v>0</v>
      </c>
      <c r="AR441" s="1233">
        <f t="shared" si="6823"/>
        <v>0</v>
      </c>
      <c r="AS441" s="1233">
        <f t="shared" si="6783"/>
        <v>0</v>
      </c>
      <c r="AT441" s="1233">
        <f t="shared" si="6744"/>
        <v>0</v>
      </c>
      <c r="AU441" s="1233">
        <f t="shared" si="6706"/>
        <v>0</v>
      </c>
      <c r="AV441" s="1233">
        <f t="shared" si="6669"/>
        <v>0</v>
      </c>
      <c r="AW441" s="1233">
        <f t="shared" si="6633"/>
        <v>0</v>
      </c>
      <c r="AX441" s="1233">
        <f t="shared" si="7203" ref="AX441:BL455">$F$301</f>
        <v>0</v>
      </c>
      <c r="AY441" s="1233">
        <f t="shared" si="7171"/>
        <v>0</v>
      </c>
      <c r="AZ441" s="1233">
        <f t="shared" si="7138"/>
        <v>0</v>
      </c>
      <c r="BA441" s="1233">
        <f t="shared" si="7104"/>
        <v>0</v>
      </c>
      <c r="BB441" s="1233">
        <f t="shared" si="7069"/>
        <v>0</v>
      </c>
      <c r="BC441" s="1233">
        <f t="shared" si="7033"/>
        <v>0</v>
      </c>
      <c r="BD441" s="1233">
        <f t="shared" si="6996"/>
        <v>0</v>
      </c>
      <c r="BE441" s="1233">
        <f t="shared" si="6958"/>
        <v>0</v>
      </c>
      <c r="BF441" s="1233">
        <f t="shared" si="6919"/>
        <v>0</v>
      </c>
      <c r="BG441" s="1233">
        <f t="shared" si="6879"/>
        <v>0</v>
      </c>
      <c r="BH441" s="1233">
        <f t="shared" si="6839"/>
        <v>0</v>
      </c>
      <c r="BI441" s="1233">
        <f t="shared" si="6799"/>
        <v>0</v>
      </c>
      <c r="BJ441" s="1233">
        <f t="shared" si="6760"/>
        <v>0</v>
      </c>
      <c r="BK441" s="1233">
        <f t="shared" si="6722"/>
        <v>0</v>
      </c>
      <c r="BL441" s="1233">
        <f t="shared" si="6685"/>
        <v>0</v>
      </c>
      <c r="BM441" s="1184"/>
      <c r="BN441" s="1184"/>
      <c r="BO441" s="1184"/>
      <c r="BP441" s="1184"/>
      <c r="BQ441" s="1184"/>
      <c r="BR441" s="1184"/>
      <c r="BS441" s="1184"/>
      <c r="BT441" s="1184"/>
      <c r="BU441" s="1184"/>
      <c r="BV441" s="1184"/>
      <c r="BW441" s="1184"/>
      <c r="BX441" s="1184"/>
      <c r="BY441" s="1184"/>
      <c r="BZ441" s="208"/>
      <c r="CA441" s="208"/>
      <c r="CB441" s="208"/>
      <c r="CC441" s="208"/>
      <c r="CD441" s="211"/>
    </row>
    <row r="442" ht="18" customHeight="1">
      <c r="A442" s="207"/>
      <c r="B442" s="208"/>
      <c r="C442" s="208"/>
      <c r="D442" s="208"/>
      <c r="E442" s="208"/>
      <c r="F442" s="1185"/>
      <c r="G442" s="208"/>
      <c r="H442" s="208"/>
      <c r="I442" s="208"/>
      <c r="J442" s="208"/>
      <c r="K442" s="208"/>
      <c r="L442" s="208"/>
      <c r="M442" s="208"/>
      <c r="N442" s="208"/>
      <c r="O442" s="208"/>
      <c r="P442" s="208"/>
      <c r="Q442" s="208"/>
      <c r="R442" s="208"/>
      <c r="S442" s="208"/>
      <c r="T442" s="208"/>
      <c r="U442" s="208"/>
      <c r="V442" s="208"/>
      <c r="W442" s="208"/>
      <c r="X442" s="1233"/>
      <c r="Y442" s="1233"/>
      <c r="Z442" s="1233"/>
      <c r="AA442" s="1233"/>
      <c r="AB442" s="1233"/>
      <c r="AC442" s="1233"/>
      <c r="AD442" s="1233"/>
      <c r="AE442" s="1233"/>
      <c r="AF442" s="1233"/>
      <c r="AG442" s="1233"/>
      <c r="AH442" s="1233">
        <f>$F$56</f>
        <v>0</v>
      </c>
      <c r="AI442" s="1233">
        <f>$F$56</f>
        <v>0</v>
      </c>
      <c r="AJ442" s="1233">
        <f>$F$56</f>
        <v>0</v>
      </c>
      <c r="AK442" s="1233">
        <f>$F$56</f>
        <v>0</v>
      </c>
      <c r="AL442" s="1233">
        <f>$F$56</f>
        <v>0</v>
      </c>
      <c r="AM442" s="1233">
        <f>$F$56</f>
        <v>0</v>
      </c>
      <c r="AN442" s="1233">
        <f>$F$56</f>
        <v>0</v>
      </c>
      <c r="AO442" s="1233">
        <f>$F$56</f>
        <v>0</v>
      </c>
      <c r="AP442" s="1233">
        <f>$F$56</f>
        <v>0</v>
      </c>
      <c r="AQ442" s="1233">
        <f>$F$56</f>
        <v>0</v>
      </c>
      <c r="AR442" s="1233">
        <f>$F$56</f>
        <v>0</v>
      </c>
      <c r="AS442" s="1233">
        <f t="shared" si="6823"/>
        <v>0</v>
      </c>
      <c r="AT442" s="1233">
        <f t="shared" si="6783"/>
        <v>0</v>
      </c>
      <c r="AU442" s="1233">
        <f t="shared" si="6744"/>
        <v>0</v>
      </c>
      <c r="AV442" s="1233">
        <f t="shared" si="6706"/>
        <v>0</v>
      </c>
      <c r="AW442" s="1233">
        <f t="shared" si="6669"/>
        <v>0</v>
      </c>
      <c r="AX442" s="1233">
        <f t="shared" si="7234" ref="AX442:BL456">$F$302</f>
        <v>0</v>
      </c>
      <c r="AY442" s="1233">
        <f t="shared" si="7203"/>
        <v>0</v>
      </c>
      <c r="AZ442" s="1233">
        <f t="shared" si="7171"/>
        <v>0</v>
      </c>
      <c r="BA442" s="1233">
        <f t="shared" si="7138"/>
        <v>0</v>
      </c>
      <c r="BB442" s="1233">
        <f t="shared" si="7104"/>
        <v>0</v>
      </c>
      <c r="BC442" s="1233">
        <f t="shared" si="7069"/>
        <v>0</v>
      </c>
      <c r="BD442" s="1233">
        <f t="shared" si="7033"/>
        <v>0</v>
      </c>
      <c r="BE442" s="1233">
        <f t="shared" si="6996"/>
        <v>0</v>
      </c>
      <c r="BF442" s="1233">
        <f t="shared" si="6958"/>
        <v>0</v>
      </c>
      <c r="BG442" s="1233">
        <f t="shared" si="6919"/>
        <v>0</v>
      </c>
      <c r="BH442" s="1233">
        <f t="shared" si="6879"/>
        <v>0</v>
      </c>
      <c r="BI442" s="1233">
        <f t="shared" si="6839"/>
        <v>0</v>
      </c>
      <c r="BJ442" s="1233">
        <f t="shared" si="6799"/>
        <v>0</v>
      </c>
      <c r="BK442" s="1233">
        <f t="shared" si="6760"/>
        <v>0</v>
      </c>
      <c r="BL442" s="1233">
        <f t="shared" si="6722"/>
        <v>0</v>
      </c>
      <c r="BM442" s="1184"/>
      <c r="BN442" s="1184"/>
      <c r="BO442" s="1184"/>
      <c r="BP442" s="1184"/>
      <c r="BQ442" s="1184"/>
      <c r="BR442" s="1184"/>
      <c r="BS442" s="1184"/>
      <c r="BT442" s="1184"/>
      <c r="BU442" s="1184"/>
      <c r="BV442" s="1184"/>
      <c r="BW442" s="1184"/>
      <c r="BX442" s="1184"/>
      <c r="BY442" s="1184"/>
      <c r="BZ442" s="208"/>
      <c r="CA442" s="208"/>
      <c r="CB442" s="208"/>
      <c r="CC442" s="208"/>
      <c r="CD442" s="211"/>
    </row>
    <row r="443" ht="18" customHeight="1">
      <c r="A443" s="207"/>
      <c r="B443" s="208"/>
      <c r="C443" s="208"/>
      <c r="D443" s="208"/>
      <c r="E443" s="208"/>
      <c r="F443" s="1185"/>
      <c r="G443" s="208"/>
      <c r="H443" s="208"/>
      <c r="I443" s="208"/>
      <c r="J443" s="208"/>
      <c r="K443" s="208"/>
      <c r="L443" s="208"/>
      <c r="M443" s="208"/>
      <c r="N443" s="208"/>
      <c r="O443" s="208"/>
      <c r="P443" s="208"/>
      <c r="Q443" s="208"/>
      <c r="R443" s="208"/>
      <c r="S443" s="208"/>
      <c r="T443" s="208"/>
      <c r="U443" s="208"/>
      <c r="V443" s="208"/>
      <c r="W443" s="208"/>
      <c r="X443" s="208"/>
      <c r="Y443" s="1233"/>
      <c r="Z443" s="1233"/>
      <c r="AA443" s="1233"/>
      <c r="AB443" s="1233"/>
      <c r="AC443" s="1233"/>
      <c r="AD443" s="1233"/>
      <c r="AE443" s="1233"/>
      <c r="AF443" s="1233"/>
      <c r="AG443" s="1233"/>
      <c r="AH443" s="1233"/>
      <c r="AI443" s="1233">
        <f>$F$56</f>
        <v>0</v>
      </c>
      <c r="AJ443" s="1233">
        <f>$F$56</f>
        <v>0</v>
      </c>
      <c r="AK443" s="1233">
        <f>$F$56</f>
        <v>0</v>
      </c>
      <c r="AL443" s="1233">
        <f>$F$56</f>
        <v>0</v>
      </c>
      <c r="AM443" s="1233">
        <f>$F$56</f>
        <v>0</v>
      </c>
      <c r="AN443" s="1233">
        <f>$F$56</f>
        <v>0</v>
      </c>
      <c r="AO443" s="1233">
        <f>$F$56</f>
        <v>0</v>
      </c>
      <c r="AP443" s="1233">
        <f>$F$56</f>
        <v>0</v>
      </c>
      <c r="AQ443" s="1233">
        <f>$F$56</f>
        <v>0</v>
      </c>
      <c r="AR443" s="1233">
        <f>$F$56</f>
        <v>0</v>
      </c>
      <c r="AS443" s="1233">
        <f>$F$56</f>
        <v>0</v>
      </c>
      <c r="AT443" s="1233">
        <f t="shared" si="6823"/>
        <v>0</v>
      </c>
      <c r="AU443" s="1233">
        <f t="shared" si="6783"/>
        <v>0</v>
      </c>
      <c r="AV443" s="1233">
        <f t="shared" si="6744"/>
        <v>0</v>
      </c>
      <c r="AW443" s="1233">
        <f t="shared" si="6706"/>
        <v>0</v>
      </c>
      <c r="AX443" s="1233">
        <f t="shared" si="7264" ref="AX443:BL457">$F$303</f>
        <v>0</v>
      </c>
      <c r="AY443" s="1233">
        <f t="shared" si="7234"/>
        <v>0</v>
      </c>
      <c r="AZ443" s="1233">
        <f t="shared" si="7203"/>
        <v>0</v>
      </c>
      <c r="BA443" s="1233">
        <f t="shared" si="7171"/>
        <v>0</v>
      </c>
      <c r="BB443" s="1233">
        <f t="shared" si="7138"/>
        <v>0</v>
      </c>
      <c r="BC443" s="1233">
        <f t="shared" si="7104"/>
        <v>0</v>
      </c>
      <c r="BD443" s="1233">
        <f t="shared" si="7069"/>
        <v>0</v>
      </c>
      <c r="BE443" s="1233">
        <f t="shared" si="7033"/>
        <v>0</v>
      </c>
      <c r="BF443" s="1233">
        <f t="shared" si="6996"/>
        <v>0</v>
      </c>
      <c r="BG443" s="1233">
        <f t="shared" si="6958"/>
        <v>0</v>
      </c>
      <c r="BH443" s="1233">
        <f t="shared" si="6919"/>
        <v>0</v>
      </c>
      <c r="BI443" s="1233">
        <f t="shared" si="6879"/>
        <v>0</v>
      </c>
      <c r="BJ443" s="1233">
        <f t="shared" si="6839"/>
        <v>0</v>
      </c>
      <c r="BK443" s="1233">
        <f t="shared" si="6799"/>
        <v>0</v>
      </c>
      <c r="BL443" s="1233">
        <f t="shared" si="6760"/>
        <v>0</v>
      </c>
      <c r="BM443" s="1184"/>
      <c r="BN443" s="1184"/>
      <c r="BO443" s="1184"/>
      <c r="BP443" s="1184"/>
      <c r="BQ443" s="1184"/>
      <c r="BR443" s="1184"/>
      <c r="BS443" s="1184"/>
      <c r="BT443" s="1184"/>
      <c r="BU443" s="1184"/>
      <c r="BV443" s="1184"/>
      <c r="BW443" s="1184"/>
      <c r="BX443" s="1184"/>
      <c r="BY443" s="1184"/>
      <c r="BZ443" s="208"/>
      <c r="CA443" s="208"/>
      <c r="CB443" s="208"/>
      <c r="CC443" s="208"/>
      <c r="CD443" s="211"/>
    </row>
    <row r="444" ht="18" customHeight="1">
      <c r="A444" s="207"/>
      <c r="B444" s="208"/>
      <c r="C444" s="208"/>
      <c r="D444" s="208"/>
      <c r="E444" s="208"/>
      <c r="F444" s="1185"/>
      <c r="G444" s="208"/>
      <c r="H444" s="208"/>
      <c r="I444" s="208"/>
      <c r="J444" s="208"/>
      <c r="K444" s="208"/>
      <c r="L444" s="208"/>
      <c r="M444" s="208"/>
      <c r="N444" s="208"/>
      <c r="O444" s="208"/>
      <c r="P444" s="208"/>
      <c r="Q444" s="208"/>
      <c r="R444" s="208"/>
      <c r="S444" s="208"/>
      <c r="T444" s="208"/>
      <c r="U444" s="208"/>
      <c r="V444" s="208"/>
      <c r="W444" s="208"/>
      <c r="X444" s="208"/>
      <c r="Y444" s="208"/>
      <c r="Z444" s="1233"/>
      <c r="AA444" s="1233"/>
      <c r="AB444" s="1233"/>
      <c r="AC444" s="1233"/>
      <c r="AD444" s="1233"/>
      <c r="AE444" s="1233"/>
      <c r="AF444" s="1233"/>
      <c r="AG444" s="1233"/>
      <c r="AH444" s="1233"/>
      <c r="AI444" s="1233"/>
      <c r="AJ444" s="1233">
        <f>$F$56</f>
        <v>0</v>
      </c>
      <c r="AK444" s="1233">
        <f>$F$56</f>
        <v>0</v>
      </c>
      <c r="AL444" s="1233">
        <f>$F$56</f>
        <v>0</v>
      </c>
      <c r="AM444" s="1233">
        <f>$F$56</f>
        <v>0</v>
      </c>
      <c r="AN444" s="1233">
        <f>$F$56</f>
        <v>0</v>
      </c>
      <c r="AO444" s="1233">
        <f>$F$56</f>
        <v>0</v>
      </c>
      <c r="AP444" s="1233">
        <f>$F$56</f>
        <v>0</v>
      </c>
      <c r="AQ444" s="1233">
        <f>$F$56</f>
        <v>0</v>
      </c>
      <c r="AR444" s="1233">
        <f>$F$56</f>
        <v>0</v>
      </c>
      <c r="AS444" s="1233">
        <f>$F$56</f>
        <v>0</v>
      </c>
      <c r="AT444" s="1233">
        <f>$F$56</f>
        <v>0</v>
      </c>
      <c r="AU444" s="1233">
        <f t="shared" si="6823"/>
        <v>0</v>
      </c>
      <c r="AV444" s="1233">
        <f t="shared" si="6783"/>
        <v>0</v>
      </c>
      <c r="AW444" s="1233">
        <f t="shared" si="6744"/>
        <v>0</v>
      </c>
      <c r="AX444" s="1233">
        <f t="shared" si="7293" ref="AX444:BL458">$F$304</f>
        <v>0</v>
      </c>
      <c r="AY444" s="1233">
        <f t="shared" si="7264"/>
        <v>0</v>
      </c>
      <c r="AZ444" s="1233">
        <f t="shared" si="7234"/>
        <v>0</v>
      </c>
      <c r="BA444" s="1233">
        <f t="shared" si="7203"/>
        <v>0</v>
      </c>
      <c r="BB444" s="1233">
        <f t="shared" si="7171"/>
        <v>0</v>
      </c>
      <c r="BC444" s="1233">
        <f t="shared" si="7138"/>
        <v>0</v>
      </c>
      <c r="BD444" s="1233">
        <f t="shared" si="7104"/>
        <v>0</v>
      </c>
      <c r="BE444" s="1233">
        <f t="shared" si="7069"/>
        <v>0</v>
      </c>
      <c r="BF444" s="1233">
        <f t="shared" si="7033"/>
        <v>0</v>
      </c>
      <c r="BG444" s="1233">
        <f t="shared" si="6996"/>
        <v>0</v>
      </c>
      <c r="BH444" s="1233">
        <f t="shared" si="6958"/>
        <v>0</v>
      </c>
      <c r="BI444" s="1233">
        <f t="shared" si="6919"/>
        <v>0</v>
      </c>
      <c r="BJ444" s="1233">
        <f t="shared" si="6879"/>
        <v>0</v>
      </c>
      <c r="BK444" s="1233">
        <f t="shared" si="6839"/>
        <v>0</v>
      </c>
      <c r="BL444" s="1233">
        <f t="shared" si="6799"/>
        <v>0</v>
      </c>
      <c r="BM444" s="1184"/>
      <c r="BN444" s="1184"/>
      <c r="BO444" s="1184"/>
      <c r="BP444" s="1184"/>
      <c r="BQ444" s="1184"/>
      <c r="BR444" s="1184"/>
      <c r="BS444" s="1184"/>
      <c r="BT444" s="1184"/>
      <c r="BU444" s="1184"/>
      <c r="BV444" s="1184"/>
      <c r="BW444" s="1184"/>
      <c r="BX444" s="1184"/>
      <c r="BY444" s="1184"/>
      <c r="BZ444" s="208"/>
      <c r="CA444" s="208"/>
      <c r="CB444" s="208"/>
      <c r="CC444" s="208"/>
      <c r="CD444" s="211"/>
    </row>
    <row r="445" ht="18" customHeight="1">
      <c r="A445" s="207"/>
      <c r="B445" s="208"/>
      <c r="C445" s="208"/>
      <c r="D445" s="208"/>
      <c r="E445" s="208"/>
      <c r="F445" s="1185"/>
      <c r="G445" s="208"/>
      <c r="H445" s="208"/>
      <c r="I445" s="208"/>
      <c r="J445" s="208"/>
      <c r="K445" s="208"/>
      <c r="L445" s="208"/>
      <c r="M445" s="208"/>
      <c r="N445" s="208"/>
      <c r="O445" s="208"/>
      <c r="P445" s="208"/>
      <c r="Q445" s="208"/>
      <c r="R445" s="208"/>
      <c r="S445" s="208"/>
      <c r="T445" s="208"/>
      <c r="U445" s="208"/>
      <c r="V445" s="208"/>
      <c r="W445" s="208"/>
      <c r="X445" s="208"/>
      <c r="Y445" s="208"/>
      <c r="Z445" s="208"/>
      <c r="AA445" s="1233"/>
      <c r="AB445" s="1233"/>
      <c r="AC445" s="1233"/>
      <c r="AD445" s="1233"/>
      <c r="AE445" s="1233"/>
      <c r="AF445" s="1233"/>
      <c r="AG445" s="1233"/>
      <c r="AH445" s="1233"/>
      <c r="AI445" s="1233"/>
      <c r="AJ445" s="1233"/>
      <c r="AK445" s="1233">
        <f>$F$56</f>
        <v>0</v>
      </c>
      <c r="AL445" s="1233">
        <f>$F$56</f>
        <v>0</v>
      </c>
      <c r="AM445" s="1233">
        <f>$F$56</f>
        <v>0</v>
      </c>
      <c r="AN445" s="1233">
        <f>$F$56</f>
        <v>0</v>
      </c>
      <c r="AO445" s="1233">
        <f>$F$56</f>
        <v>0</v>
      </c>
      <c r="AP445" s="1233">
        <f>$F$56</f>
        <v>0</v>
      </c>
      <c r="AQ445" s="1233">
        <f>$F$56</f>
        <v>0</v>
      </c>
      <c r="AR445" s="1233">
        <f>$F$56</f>
        <v>0</v>
      </c>
      <c r="AS445" s="1233">
        <f>$F$56</f>
        <v>0</v>
      </c>
      <c r="AT445" s="1233">
        <f>$F$56</f>
        <v>0</v>
      </c>
      <c r="AU445" s="1233">
        <f>$F$56</f>
        <v>0</v>
      </c>
      <c r="AV445" s="1233">
        <f t="shared" si="6823"/>
        <v>0</v>
      </c>
      <c r="AW445" s="1233">
        <f t="shared" si="6783"/>
        <v>0</v>
      </c>
      <c r="AX445" s="1233">
        <f t="shared" si="7321" ref="AX445:BL459">$F$305</f>
        <v>0</v>
      </c>
      <c r="AY445" s="1233">
        <f t="shared" si="7293"/>
        <v>0</v>
      </c>
      <c r="AZ445" s="1233">
        <f t="shared" si="7264"/>
        <v>0</v>
      </c>
      <c r="BA445" s="1233">
        <f t="shared" si="7234"/>
        <v>0</v>
      </c>
      <c r="BB445" s="1233">
        <f t="shared" si="7203"/>
        <v>0</v>
      </c>
      <c r="BC445" s="1233">
        <f t="shared" si="7171"/>
        <v>0</v>
      </c>
      <c r="BD445" s="1233">
        <f t="shared" si="7138"/>
        <v>0</v>
      </c>
      <c r="BE445" s="1233">
        <f t="shared" si="7104"/>
        <v>0</v>
      </c>
      <c r="BF445" s="1233">
        <f t="shared" si="7069"/>
        <v>0</v>
      </c>
      <c r="BG445" s="1233">
        <f t="shared" si="7033"/>
        <v>0</v>
      </c>
      <c r="BH445" s="1233">
        <f t="shared" si="6996"/>
        <v>0</v>
      </c>
      <c r="BI445" s="1233">
        <f t="shared" si="6958"/>
        <v>0</v>
      </c>
      <c r="BJ445" s="1233">
        <f t="shared" si="6919"/>
        <v>0</v>
      </c>
      <c r="BK445" s="1233">
        <f t="shared" si="6879"/>
        <v>0</v>
      </c>
      <c r="BL445" s="1233">
        <f t="shared" si="6839"/>
        <v>0</v>
      </c>
      <c r="BM445" s="1184"/>
      <c r="BN445" s="1184"/>
      <c r="BO445" s="1184"/>
      <c r="BP445" s="1184"/>
      <c r="BQ445" s="1184"/>
      <c r="BR445" s="1184"/>
      <c r="BS445" s="1184"/>
      <c r="BT445" s="1184"/>
      <c r="BU445" s="1184"/>
      <c r="BV445" s="1184"/>
      <c r="BW445" s="1184"/>
      <c r="BX445" s="1184"/>
      <c r="BY445" s="1184"/>
      <c r="BZ445" s="208"/>
      <c r="CA445" s="208"/>
      <c r="CB445" s="208"/>
      <c r="CC445" s="208"/>
      <c r="CD445" s="211"/>
    </row>
    <row r="446" ht="18" customHeight="1">
      <c r="A446" s="207"/>
      <c r="B446" s="208"/>
      <c r="C446" s="208"/>
      <c r="D446" s="208"/>
      <c r="E446" s="208"/>
      <c r="F446" s="1185"/>
      <c r="G446" s="208"/>
      <c r="H446" s="208"/>
      <c r="I446" s="208"/>
      <c r="J446" s="208"/>
      <c r="K446" s="208"/>
      <c r="L446" s="208"/>
      <c r="M446" s="208"/>
      <c r="N446" s="208"/>
      <c r="O446" s="208"/>
      <c r="P446" s="208"/>
      <c r="Q446" s="208"/>
      <c r="R446" s="208"/>
      <c r="S446" s="208"/>
      <c r="T446" s="208"/>
      <c r="U446" s="208"/>
      <c r="V446" s="208"/>
      <c r="W446" s="208"/>
      <c r="X446" s="208"/>
      <c r="Y446" s="208"/>
      <c r="Z446" s="208"/>
      <c r="AA446" s="208"/>
      <c r="AB446" s="1233"/>
      <c r="AC446" s="1233"/>
      <c r="AD446" s="1233"/>
      <c r="AE446" s="1233"/>
      <c r="AF446" s="1233"/>
      <c r="AG446" s="1233"/>
      <c r="AH446" s="1233"/>
      <c r="AI446" s="1233"/>
      <c r="AJ446" s="1233"/>
      <c r="AK446" s="208"/>
      <c r="AL446" s="1233">
        <f>$F$56</f>
        <v>0</v>
      </c>
      <c r="AM446" s="1233">
        <f>$F$56</f>
        <v>0</v>
      </c>
      <c r="AN446" s="1233">
        <f>$F$56</f>
        <v>0</v>
      </c>
      <c r="AO446" s="1233">
        <f>$F$56</f>
        <v>0</v>
      </c>
      <c r="AP446" s="1233">
        <f>$F$56</f>
        <v>0</v>
      </c>
      <c r="AQ446" s="1233">
        <f>$F$56</f>
        <v>0</v>
      </c>
      <c r="AR446" s="1233">
        <f>$F$56</f>
        <v>0</v>
      </c>
      <c r="AS446" s="1233">
        <f>$F$56</f>
        <v>0</v>
      </c>
      <c r="AT446" s="1233">
        <f>$F$56</f>
        <v>0</v>
      </c>
      <c r="AU446" s="1233">
        <f>$F$56</f>
        <v>0</v>
      </c>
      <c r="AV446" s="1233">
        <f>$F$56</f>
        <v>0</v>
      </c>
      <c r="AW446" s="1233">
        <f t="shared" si="6823"/>
        <v>0</v>
      </c>
      <c r="AX446" s="1233">
        <f t="shared" si="7348" ref="AX446:BL460">$F$306</f>
        <v>0</v>
      </c>
      <c r="AY446" s="1233">
        <f t="shared" si="7321"/>
        <v>0</v>
      </c>
      <c r="AZ446" s="1233">
        <f t="shared" si="7293"/>
        <v>0</v>
      </c>
      <c r="BA446" s="1233">
        <f t="shared" si="7264"/>
        <v>0</v>
      </c>
      <c r="BB446" s="1233">
        <f t="shared" si="7234"/>
        <v>0</v>
      </c>
      <c r="BC446" s="1233">
        <f t="shared" si="7203"/>
        <v>0</v>
      </c>
      <c r="BD446" s="1233">
        <f t="shared" si="7171"/>
        <v>0</v>
      </c>
      <c r="BE446" s="1233">
        <f t="shared" si="7138"/>
        <v>0</v>
      </c>
      <c r="BF446" s="1233">
        <f t="shared" si="7104"/>
        <v>0</v>
      </c>
      <c r="BG446" s="1233">
        <f t="shared" si="7069"/>
        <v>0</v>
      </c>
      <c r="BH446" s="1233">
        <f t="shared" si="7033"/>
        <v>0</v>
      </c>
      <c r="BI446" s="1233">
        <f t="shared" si="6996"/>
        <v>0</v>
      </c>
      <c r="BJ446" s="1233">
        <f t="shared" si="6958"/>
        <v>0</v>
      </c>
      <c r="BK446" s="1233">
        <f t="shared" si="6919"/>
        <v>0</v>
      </c>
      <c r="BL446" s="1233">
        <f t="shared" si="6879"/>
        <v>0</v>
      </c>
      <c r="BM446" s="1184"/>
      <c r="BN446" s="1184"/>
      <c r="BO446" s="1184"/>
      <c r="BP446" s="1184"/>
      <c r="BQ446" s="1184"/>
      <c r="BR446" s="1184"/>
      <c r="BS446" s="1184"/>
      <c r="BT446" s="1184"/>
      <c r="BU446" s="1184"/>
      <c r="BV446" s="1184"/>
      <c r="BW446" s="1184"/>
      <c r="BX446" s="1184"/>
      <c r="BY446" s="1184"/>
      <c r="BZ446" s="208"/>
      <c r="CA446" s="208"/>
      <c r="CB446" s="208"/>
      <c r="CC446" s="208"/>
      <c r="CD446" s="211"/>
    </row>
    <row r="447" ht="18" customHeight="1">
      <c r="A447" s="207"/>
      <c r="B447" s="208"/>
      <c r="C447" s="208"/>
      <c r="D447" s="208"/>
      <c r="E447" s="208"/>
      <c r="F447" s="1185"/>
      <c r="G447" s="208"/>
      <c r="H447" s="208"/>
      <c r="I447" s="208"/>
      <c r="J447" s="208"/>
      <c r="K447" s="208"/>
      <c r="L447" s="208"/>
      <c r="M447" s="208"/>
      <c r="N447" s="208"/>
      <c r="O447" s="208"/>
      <c r="P447" s="208"/>
      <c r="Q447" s="208"/>
      <c r="R447" s="208"/>
      <c r="S447" s="208"/>
      <c r="T447" s="208"/>
      <c r="U447" s="208"/>
      <c r="V447" s="208"/>
      <c r="W447" s="208"/>
      <c r="X447" s="208"/>
      <c r="Y447" s="208"/>
      <c r="Z447" s="208"/>
      <c r="AA447" s="208"/>
      <c r="AB447" s="208"/>
      <c r="AC447" s="1233"/>
      <c r="AD447" s="1233"/>
      <c r="AE447" s="1233"/>
      <c r="AF447" s="1233"/>
      <c r="AG447" s="1233"/>
      <c r="AH447" s="1233"/>
      <c r="AI447" s="1233"/>
      <c r="AJ447" s="1233"/>
      <c r="AK447" s="208"/>
      <c r="AL447" s="208"/>
      <c r="AM447" s="1233">
        <f>$F$56</f>
        <v>0</v>
      </c>
      <c r="AN447" s="1233">
        <f>$F$56</f>
        <v>0</v>
      </c>
      <c r="AO447" s="1233">
        <f>$F$56</f>
        <v>0</v>
      </c>
      <c r="AP447" s="1233">
        <f>$F$56</f>
        <v>0</v>
      </c>
      <c r="AQ447" s="1233">
        <f>$F$56</f>
        <v>0</v>
      </c>
      <c r="AR447" s="1233">
        <f>$F$56</f>
        <v>0</v>
      </c>
      <c r="AS447" s="1233">
        <f>$F$56</f>
        <v>0</v>
      </c>
      <c r="AT447" s="1233">
        <f>$F$56</f>
        <v>0</v>
      </c>
      <c r="AU447" s="1233">
        <f>$F$56</f>
        <v>0</v>
      </c>
      <c r="AV447" s="1233">
        <f>$F$56</f>
        <v>0</v>
      </c>
      <c r="AW447" s="1233">
        <f>$F$56</f>
        <v>0</v>
      </c>
      <c r="AX447" s="1233">
        <f t="shared" si="7374" ref="AX447:BL461">$F$307</f>
        <v>0</v>
      </c>
      <c r="AY447" s="1233">
        <f t="shared" si="7348"/>
        <v>0</v>
      </c>
      <c r="AZ447" s="1233">
        <f t="shared" si="7321"/>
        <v>0</v>
      </c>
      <c r="BA447" s="1233">
        <f t="shared" si="7293"/>
        <v>0</v>
      </c>
      <c r="BB447" s="1233">
        <f t="shared" si="7264"/>
        <v>0</v>
      </c>
      <c r="BC447" s="1233">
        <f t="shared" si="7234"/>
        <v>0</v>
      </c>
      <c r="BD447" s="1233">
        <f t="shared" si="7203"/>
        <v>0</v>
      </c>
      <c r="BE447" s="1233">
        <f t="shared" si="7171"/>
        <v>0</v>
      </c>
      <c r="BF447" s="1233">
        <f t="shared" si="7138"/>
        <v>0</v>
      </c>
      <c r="BG447" s="1233">
        <f t="shared" si="7104"/>
        <v>0</v>
      </c>
      <c r="BH447" s="1233">
        <f t="shared" si="7069"/>
        <v>0</v>
      </c>
      <c r="BI447" s="1233">
        <f t="shared" si="7033"/>
        <v>0</v>
      </c>
      <c r="BJ447" s="1233">
        <f t="shared" si="6996"/>
        <v>0</v>
      </c>
      <c r="BK447" s="1233">
        <f t="shared" si="6958"/>
        <v>0</v>
      </c>
      <c r="BL447" s="1233">
        <f t="shared" si="6919"/>
        <v>0</v>
      </c>
      <c r="BM447" s="1184"/>
      <c r="BN447" s="1184"/>
      <c r="BO447" s="1184"/>
      <c r="BP447" s="1184"/>
      <c r="BQ447" s="1184"/>
      <c r="BR447" s="1184"/>
      <c r="BS447" s="1184"/>
      <c r="BT447" s="1184"/>
      <c r="BU447" s="1184"/>
      <c r="BV447" s="1184"/>
      <c r="BW447" s="1184"/>
      <c r="BX447" s="1184"/>
      <c r="BY447" s="1184"/>
      <c r="BZ447" s="208"/>
      <c r="CA447" s="208"/>
      <c r="CB447" s="208"/>
      <c r="CC447" s="208"/>
      <c r="CD447" s="211"/>
    </row>
    <row r="448" ht="18" customHeight="1">
      <c r="A448" s="207"/>
      <c r="B448" s="208"/>
      <c r="C448" s="208"/>
      <c r="D448" s="208"/>
      <c r="E448" s="208"/>
      <c r="F448" s="1185"/>
      <c r="G448" s="208"/>
      <c r="H448" s="208"/>
      <c r="I448" s="208"/>
      <c r="J448" s="208"/>
      <c r="K448" s="208"/>
      <c r="L448" s="208"/>
      <c r="M448" s="208"/>
      <c r="N448" s="208"/>
      <c r="O448" s="208"/>
      <c r="P448" s="208"/>
      <c r="Q448" s="208"/>
      <c r="R448" s="208"/>
      <c r="S448" s="208"/>
      <c r="T448" s="208"/>
      <c r="U448" s="208"/>
      <c r="V448" s="208"/>
      <c r="W448" s="208"/>
      <c r="X448" s="208"/>
      <c r="Y448" s="208"/>
      <c r="Z448" s="208"/>
      <c r="AA448" s="208"/>
      <c r="AB448" s="208"/>
      <c r="AC448" s="208"/>
      <c r="AD448" s="1233"/>
      <c r="AE448" s="1233"/>
      <c r="AF448" s="1233"/>
      <c r="AG448" s="1233"/>
      <c r="AH448" s="1233"/>
      <c r="AI448" s="1233"/>
      <c r="AJ448" s="1233"/>
      <c r="AK448" s="208"/>
      <c r="AL448" s="208"/>
      <c r="AM448" s="208"/>
      <c r="AN448" s="1233">
        <f>$F$56</f>
        <v>0</v>
      </c>
      <c r="AO448" s="1233">
        <f>$F$56</f>
        <v>0</v>
      </c>
      <c r="AP448" s="1233">
        <f>$F$56</f>
        <v>0</v>
      </c>
      <c r="AQ448" s="1233">
        <f>$F$56</f>
        <v>0</v>
      </c>
      <c r="AR448" s="1233">
        <f>$F$56</f>
        <v>0</v>
      </c>
      <c r="AS448" s="1233">
        <f>$F$56</f>
        <v>0</v>
      </c>
      <c r="AT448" s="1233">
        <f>$F$56</f>
        <v>0</v>
      </c>
      <c r="AU448" s="1233">
        <f>$F$56</f>
        <v>0</v>
      </c>
      <c r="AV448" s="1233">
        <f>$F$56</f>
        <v>0</v>
      </c>
      <c r="AW448" s="1233">
        <f>$F$56</f>
        <v>0</v>
      </c>
      <c r="AX448" s="1233">
        <f>$F$56</f>
        <v>0</v>
      </c>
      <c r="AY448" s="1233">
        <f t="shared" si="7374"/>
        <v>0</v>
      </c>
      <c r="AZ448" s="1233">
        <f t="shared" si="7348"/>
        <v>0</v>
      </c>
      <c r="BA448" s="1233">
        <f t="shared" si="7321"/>
        <v>0</v>
      </c>
      <c r="BB448" s="1233">
        <f t="shared" si="7293"/>
        <v>0</v>
      </c>
      <c r="BC448" s="1233">
        <f t="shared" si="7264"/>
        <v>0</v>
      </c>
      <c r="BD448" s="1233">
        <f t="shared" si="7234"/>
        <v>0</v>
      </c>
      <c r="BE448" s="1233">
        <f t="shared" si="7203"/>
        <v>0</v>
      </c>
      <c r="BF448" s="1233">
        <f t="shared" si="7171"/>
        <v>0</v>
      </c>
      <c r="BG448" s="1233">
        <f t="shared" si="7138"/>
        <v>0</v>
      </c>
      <c r="BH448" s="1233">
        <f t="shared" si="7104"/>
        <v>0</v>
      </c>
      <c r="BI448" s="1233">
        <f t="shared" si="7069"/>
        <v>0</v>
      </c>
      <c r="BJ448" s="1233">
        <f t="shared" si="7033"/>
        <v>0</v>
      </c>
      <c r="BK448" s="1233">
        <f t="shared" si="6996"/>
        <v>0</v>
      </c>
      <c r="BL448" s="1233">
        <f t="shared" si="6958"/>
        <v>0</v>
      </c>
      <c r="BM448" s="1184"/>
      <c r="BN448" s="1184"/>
      <c r="BO448" s="1184"/>
      <c r="BP448" s="1184"/>
      <c r="BQ448" s="1184"/>
      <c r="BR448" s="1184"/>
      <c r="BS448" s="1184"/>
      <c r="BT448" s="1184"/>
      <c r="BU448" s="1184"/>
      <c r="BV448" s="1184"/>
      <c r="BW448" s="1184"/>
      <c r="BX448" s="1184"/>
      <c r="BY448" s="1184"/>
      <c r="BZ448" s="208"/>
      <c r="CA448" s="208"/>
      <c r="CB448" s="208"/>
      <c r="CC448" s="208"/>
      <c r="CD448" s="211"/>
    </row>
    <row r="449" ht="18" customHeight="1">
      <c r="A449" s="207"/>
      <c r="B449" s="208"/>
      <c r="C449" s="208"/>
      <c r="D449" s="208"/>
      <c r="E449" s="208"/>
      <c r="F449" s="1185"/>
      <c r="G449" s="208"/>
      <c r="H449" s="208"/>
      <c r="I449" s="208"/>
      <c r="J449" s="208"/>
      <c r="K449" s="208"/>
      <c r="L449" s="208"/>
      <c r="M449" s="208"/>
      <c r="N449" s="208"/>
      <c r="O449" s="208"/>
      <c r="P449" s="208"/>
      <c r="Q449" s="208"/>
      <c r="R449" s="208"/>
      <c r="S449" s="208"/>
      <c r="T449" s="208"/>
      <c r="U449" s="208"/>
      <c r="V449" s="208"/>
      <c r="W449" s="208"/>
      <c r="X449" s="208"/>
      <c r="Y449" s="208"/>
      <c r="Z449" s="208"/>
      <c r="AA449" s="208"/>
      <c r="AB449" s="208"/>
      <c r="AC449" s="208"/>
      <c r="AD449" s="208"/>
      <c r="AE449" s="1233"/>
      <c r="AF449" s="1233"/>
      <c r="AG449" s="1233"/>
      <c r="AH449" s="1233"/>
      <c r="AI449" s="1233"/>
      <c r="AJ449" s="1233"/>
      <c r="AK449" s="208"/>
      <c r="AL449" s="208"/>
      <c r="AM449" s="208"/>
      <c r="AN449" s="208"/>
      <c r="AO449" s="1233">
        <f>$F$56</f>
        <v>0</v>
      </c>
      <c r="AP449" s="1233">
        <f>$F$56</f>
        <v>0</v>
      </c>
      <c r="AQ449" s="1233">
        <f>$F$56</f>
        <v>0</v>
      </c>
      <c r="AR449" s="1233">
        <f>$F$56</f>
        <v>0</v>
      </c>
      <c r="AS449" s="1233">
        <f>$F$56</f>
        <v>0</v>
      </c>
      <c r="AT449" s="1233">
        <f>$F$56</f>
        <v>0</v>
      </c>
      <c r="AU449" s="1233">
        <f>$F$56</f>
        <v>0</v>
      </c>
      <c r="AV449" s="1233">
        <f>$F$56</f>
        <v>0</v>
      </c>
      <c r="AW449" s="1233">
        <f>$F$56</f>
        <v>0</v>
      </c>
      <c r="AX449" s="1233">
        <f>$F$56</f>
        <v>0</v>
      </c>
      <c r="AY449" s="1233">
        <f>$F$56</f>
        <v>0</v>
      </c>
      <c r="AZ449" s="1233">
        <f t="shared" si="7374"/>
        <v>0</v>
      </c>
      <c r="BA449" s="1233">
        <f t="shared" si="7348"/>
        <v>0</v>
      </c>
      <c r="BB449" s="1233">
        <f t="shared" si="7321"/>
        <v>0</v>
      </c>
      <c r="BC449" s="1233">
        <f t="shared" si="7293"/>
        <v>0</v>
      </c>
      <c r="BD449" s="1233">
        <f t="shared" si="7264"/>
        <v>0</v>
      </c>
      <c r="BE449" s="1233">
        <f t="shared" si="7234"/>
        <v>0</v>
      </c>
      <c r="BF449" s="1233">
        <f t="shared" si="7203"/>
        <v>0</v>
      </c>
      <c r="BG449" s="1233">
        <f t="shared" si="7171"/>
        <v>0</v>
      </c>
      <c r="BH449" s="1233">
        <f t="shared" si="7138"/>
        <v>0</v>
      </c>
      <c r="BI449" s="1233">
        <f t="shared" si="7104"/>
        <v>0</v>
      </c>
      <c r="BJ449" s="1233">
        <f t="shared" si="7069"/>
        <v>0</v>
      </c>
      <c r="BK449" s="1233">
        <f t="shared" si="7033"/>
        <v>0</v>
      </c>
      <c r="BL449" s="1233">
        <f t="shared" si="6996"/>
        <v>0</v>
      </c>
      <c r="BM449" s="1184"/>
      <c r="BN449" s="1184"/>
      <c r="BO449" s="1184"/>
      <c r="BP449" s="1184"/>
      <c r="BQ449" s="1184"/>
      <c r="BR449" s="1184"/>
      <c r="BS449" s="1184"/>
      <c r="BT449" s="1184"/>
      <c r="BU449" s="1184"/>
      <c r="BV449" s="1184"/>
      <c r="BW449" s="1184"/>
      <c r="BX449" s="1184"/>
      <c r="BY449" s="1184"/>
      <c r="BZ449" s="208"/>
      <c r="CA449" s="208"/>
      <c r="CB449" s="208"/>
      <c r="CC449" s="208"/>
      <c r="CD449" s="211"/>
    </row>
    <row r="450" ht="18" customHeight="1">
      <c r="A450" s="207"/>
      <c r="B450" s="208"/>
      <c r="C450" s="208"/>
      <c r="D450" s="208"/>
      <c r="E450" s="208"/>
      <c r="F450" s="1185"/>
      <c r="G450" s="208"/>
      <c r="H450" s="208"/>
      <c r="I450" s="208"/>
      <c r="J450" s="208"/>
      <c r="K450" s="208"/>
      <c r="L450" s="208"/>
      <c r="M450" s="208"/>
      <c r="N450" s="208"/>
      <c r="O450" s="208"/>
      <c r="P450" s="208"/>
      <c r="Q450" s="208"/>
      <c r="R450" s="208"/>
      <c r="S450" s="208"/>
      <c r="T450" s="208"/>
      <c r="U450" s="208"/>
      <c r="V450" s="208"/>
      <c r="W450" s="208"/>
      <c r="X450" s="208"/>
      <c r="Y450" s="208"/>
      <c r="Z450" s="208"/>
      <c r="AA450" s="208"/>
      <c r="AB450" s="208"/>
      <c r="AC450" s="208"/>
      <c r="AD450" s="208"/>
      <c r="AE450" s="208"/>
      <c r="AF450" s="1233"/>
      <c r="AG450" s="1233"/>
      <c r="AH450" s="1233"/>
      <c r="AI450" s="1233"/>
      <c r="AJ450" s="1233"/>
      <c r="AK450" s="208"/>
      <c r="AL450" s="208"/>
      <c r="AM450" s="208"/>
      <c r="AN450" s="208"/>
      <c r="AO450" s="208"/>
      <c r="AP450" s="1233">
        <f>$F$56</f>
        <v>0</v>
      </c>
      <c r="AQ450" s="1233">
        <f>$F$56</f>
        <v>0</v>
      </c>
      <c r="AR450" s="1233">
        <f>$F$56</f>
        <v>0</v>
      </c>
      <c r="AS450" s="1233">
        <f>$F$56</f>
        <v>0</v>
      </c>
      <c r="AT450" s="1233">
        <f>$F$56</f>
        <v>0</v>
      </c>
      <c r="AU450" s="1233">
        <f>$F$56</f>
        <v>0</v>
      </c>
      <c r="AV450" s="1233">
        <f>$F$56</f>
        <v>0</v>
      </c>
      <c r="AW450" s="1233">
        <f>$F$56</f>
        <v>0</v>
      </c>
      <c r="AX450" s="1233">
        <f>$F$56</f>
        <v>0</v>
      </c>
      <c r="AY450" s="1233">
        <f>$F$56</f>
        <v>0</v>
      </c>
      <c r="AZ450" s="1233">
        <f>$F$56</f>
        <v>0</v>
      </c>
      <c r="BA450" s="1233">
        <f t="shared" si="7374"/>
        <v>0</v>
      </c>
      <c r="BB450" s="1233">
        <f t="shared" si="7348"/>
        <v>0</v>
      </c>
      <c r="BC450" s="1233">
        <f t="shared" si="7321"/>
        <v>0</v>
      </c>
      <c r="BD450" s="1233">
        <f t="shared" si="7293"/>
        <v>0</v>
      </c>
      <c r="BE450" s="1233">
        <f t="shared" si="7264"/>
        <v>0</v>
      </c>
      <c r="BF450" s="1233">
        <f t="shared" si="7234"/>
        <v>0</v>
      </c>
      <c r="BG450" s="1233">
        <f t="shared" si="7203"/>
        <v>0</v>
      </c>
      <c r="BH450" s="1233">
        <f t="shared" si="7171"/>
        <v>0</v>
      </c>
      <c r="BI450" s="1233">
        <f t="shared" si="7138"/>
        <v>0</v>
      </c>
      <c r="BJ450" s="1233">
        <f t="shared" si="7104"/>
        <v>0</v>
      </c>
      <c r="BK450" s="1233">
        <f t="shared" si="7069"/>
        <v>0</v>
      </c>
      <c r="BL450" s="1233">
        <f t="shared" si="7033"/>
        <v>0</v>
      </c>
      <c r="BM450" s="1184"/>
      <c r="BN450" s="1184"/>
      <c r="BO450" s="1184"/>
      <c r="BP450" s="1184"/>
      <c r="BQ450" s="1184"/>
      <c r="BR450" s="1184"/>
      <c r="BS450" s="1184"/>
      <c r="BT450" s="1184"/>
      <c r="BU450" s="1184"/>
      <c r="BV450" s="1184"/>
      <c r="BW450" s="1184"/>
      <c r="BX450" s="1184"/>
      <c r="BY450" s="1184"/>
      <c r="BZ450" s="208"/>
      <c r="CA450" s="208"/>
      <c r="CB450" s="208"/>
      <c r="CC450" s="208"/>
      <c r="CD450" s="211"/>
    </row>
    <row r="451" ht="18" customHeight="1">
      <c r="A451" s="207"/>
      <c r="B451" s="208"/>
      <c r="C451" s="208"/>
      <c r="D451" s="208"/>
      <c r="E451" s="208"/>
      <c r="F451" s="1185"/>
      <c r="G451" s="208"/>
      <c r="H451" s="208"/>
      <c r="I451" s="208"/>
      <c r="J451" s="208"/>
      <c r="K451" s="208"/>
      <c r="L451" s="208"/>
      <c r="M451" s="208"/>
      <c r="N451" s="208"/>
      <c r="O451" s="208"/>
      <c r="P451" s="208"/>
      <c r="Q451" s="208"/>
      <c r="R451" s="208"/>
      <c r="S451" s="208"/>
      <c r="T451" s="208"/>
      <c r="U451" s="208"/>
      <c r="V451" s="208"/>
      <c r="W451" s="208"/>
      <c r="X451" s="208"/>
      <c r="Y451" s="208"/>
      <c r="Z451" s="208"/>
      <c r="AA451" s="208"/>
      <c r="AB451" s="208"/>
      <c r="AC451" s="208"/>
      <c r="AD451" s="208"/>
      <c r="AE451" s="208"/>
      <c r="AF451" s="208"/>
      <c r="AG451" s="1233"/>
      <c r="AH451" s="1233"/>
      <c r="AI451" s="1233"/>
      <c r="AJ451" s="1233"/>
      <c r="AK451" s="208"/>
      <c r="AL451" s="208"/>
      <c r="AM451" s="208"/>
      <c r="AN451" s="208"/>
      <c r="AO451" s="208"/>
      <c r="AP451" s="208"/>
      <c r="AQ451" s="1233">
        <f>$F$56</f>
        <v>0</v>
      </c>
      <c r="AR451" s="1233">
        <f>$F$56</f>
        <v>0</v>
      </c>
      <c r="AS451" s="1233">
        <f>$F$56</f>
        <v>0</v>
      </c>
      <c r="AT451" s="1233">
        <f>$F$56</f>
        <v>0</v>
      </c>
      <c r="AU451" s="1233">
        <f>$F$56</f>
        <v>0</v>
      </c>
      <c r="AV451" s="1233">
        <f>$F$56</f>
        <v>0</v>
      </c>
      <c r="AW451" s="1233">
        <f>$F$56</f>
        <v>0</v>
      </c>
      <c r="AX451" s="1233">
        <f>$F$56</f>
        <v>0</v>
      </c>
      <c r="AY451" s="1233">
        <f>$F$56</f>
        <v>0</v>
      </c>
      <c r="AZ451" s="1233">
        <f>$F$56</f>
        <v>0</v>
      </c>
      <c r="BA451" s="1233">
        <f>$F$56</f>
        <v>0</v>
      </c>
      <c r="BB451" s="1233">
        <f t="shared" si="7374"/>
        <v>0</v>
      </c>
      <c r="BC451" s="1233">
        <f t="shared" si="7348"/>
        <v>0</v>
      </c>
      <c r="BD451" s="1233">
        <f t="shared" si="7321"/>
        <v>0</v>
      </c>
      <c r="BE451" s="1233">
        <f t="shared" si="7293"/>
        <v>0</v>
      </c>
      <c r="BF451" s="1233">
        <f t="shared" si="7264"/>
        <v>0</v>
      </c>
      <c r="BG451" s="1233">
        <f t="shared" si="7234"/>
        <v>0</v>
      </c>
      <c r="BH451" s="1233">
        <f t="shared" si="7203"/>
        <v>0</v>
      </c>
      <c r="BI451" s="1233">
        <f t="shared" si="7171"/>
        <v>0</v>
      </c>
      <c r="BJ451" s="1233">
        <f t="shared" si="7138"/>
        <v>0</v>
      </c>
      <c r="BK451" s="1233">
        <f t="shared" si="7104"/>
        <v>0</v>
      </c>
      <c r="BL451" s="1233">
        <f t="shared" si="7069"/>
        <v>0</v>
      </c>
      <c r="BM451" s="1184"/>
      <c r="BN451" s="1184"/>
      <c r="BO451" s="1184"/>
      <c r="BP451" s="1184"/>
      <c r="BQ451" s="1184"/>
      <c r="BR451" s="1184"/>
      <c r="BS451" s="1184"/>
      <c r="BT451" s="1184"/>
      <c r="BU451" s="1184"/>
      <c r="BV451" s="1184"/>
      <c r="BW451" s="1184"/>
      <c r="BX451" s="1184"/>
      <c r="BY451" s="1184"/>
      <c r="BZ451" s="208"/>
      <c r="CA451" s="208"/>
      <c r="CB451" s="208"/>
      <c r="CC451" s="208"/>
      <c r="CD451" s="211"/>
    </row>
    <row r="452" ht="18" customHeight="1">
      <c r="A452" s="207"/>
      <c r="B452" s="208"/>
      <c r="C452" s="208"/>
      <c r="D452" s="208"/>
      <c r="E452" s="208"/>
      <c r="F452" s="1185"/>
      <c r="G452" s="208"/>
      <c r="H452" s="208"/>
      <c r="I452" s="208"/>
      <c r="J452" s="208"/>
      <c r="K452" s="208"/>
      <c r="L452" s="208"/>
      <c r="M452" s="208"/>
      <c r="N452" s="208"/>
      <c r="O452" s="208"/>
      <c r="P452" s="208"/>
      <c r="Q452" s="208"/>
      <c r="R452" s="208"/>
      <c r="S452" s="208"/>
      <c r="T452" s="208"/>
      <c r="U452" s="208"/>
      <c r="V452" s="208"/>
      <c r="W452" s="208"/>
      <c r="X452" s="208"/>
      <c r="Y452" s="208"/>
      <c r="Z452" s="208"/>
      <c r="AA452" s="208"/>
      <c r="AB452" s="208"/>
      <c r="AC452" s="208"/>
      <c r="AD452" s="208"/>
      <c r="AE452" s="208"/>
      <c r="AF452" s="208"/>
      <c r="AG452" s="208"/>
      <c r="AH452" s="1233"/>
      <c r="AI452" s="1233"/>
      <c r="AJ452" s="1233"/>
      <c r="AK452" s="208"/>
      <c r="AL452" s="208"/>
      <c r="AM452" s="208"/>
      <c r="AN452" s="208"/>
      <c r="AO452" s="208"/>
      <c r="AP452" s="208"/>
      <c r="AQ452" s="208"/>
      <c r="AR452" s="1233">
        <f>$F$56</f>
        <v>0</v>
      </c>
      <c r="AS452" s="1233">
        <f>$F$56</f>
        <v>0</v>
      </c>
      <c r="AT452" s="1233">
        <f>$F$56</f>
        <v>0</v>
      </c>
      <c r="AU452" s="1233">
        <f>$F$56</f>
        <v>0</v>
      </c>
      <c r="AV452" s="1233">
        <f>$F$56</f>
        <v>0</v>
      </c>
      <c r="AW452" s="1233">
        <f>$F$56</f>
        <v>0</v>
      </c>
      <c r="AX452" s="1233">
        <f>$F$56</f>
        <v>0</v>
      </c>
      <c r="AY452" s="1233">
        <f>$F$56</f>
        <v>0</v>
      </c>
      <c r="AZ452" s="1233">
        <f>$F$56</f>
        <v>0</v>
      </c>
      <c r="BA452" s="1233">
        <f>$F$56</f>
        <v>0</v>
      </c>
      <c r="BB452" s="1233">
        <f>$F$56</f>
        <v>0</v>
      </c>
      <c r="BC452" s="1233">
        <f t="shared" si="7374"/>
        <v>0</v>
      </c>
      <c r="BD452" s="1233">
        <f t="shared" si="7348"/>
        <v>0</v>
      </c>
      <c r="BE452" s="1233">
        <f t="shared" si="7321"/>
        <v>0</v>
      </c>
      <c r="BF452" s="1233">
        <f t="shared" si="7293"/>
        <v>0</v>
      </c>
      <c r="BG452" s="1233">
        <f t="shared" si="7264"/>
        <v>0</v>
      </c>
      <c r="BH452" s="1233">
        <f t="shared" si="7234"/>
        <v>0</v>
      </c>
      <c r="BI452" s="1233">
        <f t="shared" si="7203"/>
        <v>0</v>
      </c>
      <c r="BJ452" s="1233">
        <f t="shared" si="7171"/>
        <v>0</v>
      </c>
      <c r="BK452" s="1233">
        <f t="shared" si="7138"/>
        <v>0</v>
      </c>
      <c r="BL452" s="1233">
        <f t="shared" si="7104"/>
        <v>0</v>
      </c>
      <c r="BM452" s="1184"/>
      <c r="BN452" s="1184"/>
      <c r="BO452" s="1184"/>
      <c r="BP452" s="1184"/>
      <c r="BQ452" s="1184"/>
      <c r="BR452" s="1184"/>
      <c r="BS452" s="1184"/>
      <c r="BT452" s="1184"/>
      <c r="BU452" s="1184"/>
      <c r="BV452" s="1184"/>
      <c r="BW452" s="1184"/>
      <c r="BX452" s="1184"/>
      <c r="BY452" s="1184"/>
      <c r="BZ452" s="208"/>
      <c r="CA452" s="208"/>
      <c r="CB452" s="208"/>
      <c r="CC452" s="208"/>
      <c r="CD452" s="211"/>
    </row>
    <row r="453" ht="18" customHeight="1">
      <c r="A453" s="207"/>
      <c r="B453" s="208"/>
      <c r="C453" s="208"/>
      <c r="D453" s="208"/>
      <c r="E453" s="208"/>
      <c r="F453" s="1185"/>
      <c r="G453" s="208"/>
      <c r="H453" s="208"/>
      <c r="I453" s="208"/>
      <c r="J453" s="208"/>
      <c r="K453" s="208"/>
      <c r="L453" s="208"/>
      <c r="M453" s="208"/>
      <c r="N453" s="208"/>
      <c r="O453" s="208"/>
      <c r="P453" s="208"/>
      <c r="Q453" s="208"/>
      <c r="R453" s="208"/>
      <c r="S453" s="208"/>
      <c r="T453" s="208"/>
      <c r="U453" s="208"/>
      <c r="V453" s="208"/>
      <c r="W453" s="208"/>
      <c r="X453" s="208"/>
      <c r="Y453" s="208"/>
      <c r="Z453" s="208"/>
      <c r="AA453" s="208"/>
      <c r="AB453" s="208"/>
      <c r="AC453" s="208"/>
      <c r="AD453" s="208"/>
      <c r="AE453" s="208"/>
      <c r="AF453" s="208"/>
      <c r="AG453" s="208"/>
      <c r="AH453" s="208"/>
      <c r="AI453" s="1233"/>
      <c r="AJ453" s="1233"/>
      <c r="AK453" s="208"/>
      <c r="AL453" s="208"/>
      <c r="AM453" s="208"/>
      <c r="AN453" s="208"/>
      <c r="AO453" s="208"/>
      <c r="AP453" s="208"/>
      <c r="AQ453" s="208"/>
      <c r="AR453" s="208"/>
      <c r="AS453" s="1233">
        <f>$F$56</f>
        <v>0</v>
      </c>
      <c r="AT453" s="1233">
        <f>$F$56</f>
        <v>0</v>
      </c>
      <c r="AU453" s="1233">
        <f>$F$56</f>
        <v>0</v>
      </c>
      <c r="AV453" s="1233">
        <f>$F$56</f>
        <v>0</v>
      </c>
      <c r="AW453" s="1233">
        <f>$F$56</f>
        <v>0</v>
      </c>
      <c r="AX453" s="1233">
        <f>$F$56</f>
        <v>0</v>
      </c>
      <c r="AY453" s="1233">
        <f>$F$56</f>
        <v>0</v>
      </c>
      <c r="AZ453" s="1233">
        <f>$F$56</f>
        <v>0</v>
      </c>
      <c r="BA453" s="1233">
        <f>$F$56</f>
        <v>0</v>
      </c>
      <c r="BB453" s="1233">
        <f>$F$56</f>
        <v>0</v>
      </c>
      <c r="BC453" s="1233">
        <f>$F$56</f>
        <v>0</v>
      </c>
      <c r="BD453" s="1233">
        <f t="shared" si="7374"/>
        <v>0</v>
      </c>
      <c r="BE453" s="1233">
        <f t="shared" si="7348"/>
        <v>0</v>
      </c>
      <c r="BF453" s="1233">
        <f t="shared" si="7321"/>
        <v>0</v>
      </c>
      <c r="BG453" s="1233">
        <f t="shared" si="7293"/>
        <v>0</v>
      </c>
      <c r="BH453" s="1233">
        <f t="shared" si="7264"/>
        <v>0</v>
      </c>
      <c r="BI453" s="1233">
        <f t="shared" si="7234"/>
        <v>0</v>
      </c>
      <c r="BJ453" s="1233">
        <f t="shared" si="7203"/>
        <v>0</v>
      </c>
      <c r="BK453" s="1233">
        <f t="shared" si="7171"/>
        <v>0</v>
      </c>
      <c r="BL453" s="1233">
        <f t="shared" si="7138"/>
        <v>0</v>
      </c>
      <c r="BM453" s="1184"/>
      <c r="BN453" s="1184"/>
      <c r="BO453" s="1184"/>
      <c r="BP453" s="1184"/>
      <c r="BQ453" s="1184"/>
      <c r="BR453" s="1184"/>
      <c r="BS453" s="1184"/>
      <c r="BT453" s="1184"/>
      <c r="BU453" s="1184"/>
      <c r="BV453" s="1184"/>
      <c r="BW453" s="1184"/>
      <c r="BX453" s="1184"/>
      <c r="BY453" s="1184"/>
      <c r="BZ453" s="208"/>
      <c r="CA453" s="208"/>
      <c r="CB453" s="208"/>
      <c r="CC453" s="208"/>
      <c r="CD453" s="211"/>
    </row>
    <row r="454" ht="18" customHeight="1">
      <c r="A454" s="207"/>
      <c r="B454" s="208"/>
      <c r="C454" s="208"/>
      <c r="D454" s="208"/>
      <c r="E454" s="208"/>
      <c r="F454" s="1185"/>
      <c r="G454" s="208"/>
      <c r="H454" s="208"/>
      <c r="I454" s="208"/>
      <c r="J454" s="208"/>
      <c r="K454" s="208"/>
      <c r="L454" s="208"/>
      <c r="M454" s="208"/>
      <c r="N454" s="208"/>
      <c r="O454" s="208"/>
      <c r="P454" s="208"/>
      <c r="Q454" s="208"/>
      <c r="R454" s="208"/>
      <c r="S454" s="208"/>
      <c r="T454" s="208"/>
      <c r="U454" s="208"/>
      <c r="V454" s="208"/>
      <c r="W454" s="208"/>
      <c r="X454" s="208"/>
      <c r="Y454" s="208"/>
      <c r="Z454" s="208"/>
      <c r="AA454" s="208"/>
      <c r="AB454" s="208"/>
      <c r="AC454" s="208"/>
      <c r="AD454" s="208"/>
      <c r="AE454" s="208"/>
      <c r="AF454" s="208"/>
      <c r="AG454" s="208"/>
      <c r="AH454" s="208"/>
      <c r="AI454" s="208"/>
      <c r="AJ454" s="1233"/>
      <c r="AK454" s="208"/>
      <c r="AL454" s="208"/>
      <c r="AM454" s="208"/>
      <c r="AN454" s="208"/>
      <c r="AO454" s="208"/>
      <c r="AP454" s="208"/>
      <c r="AQ454" s="208"/>
      <c r="AR454" s="208"/>
      <c r="AS454" s="1184"/>
      <c r="AT454" s="1233">
        <f>$F$56</f>
        <v>0</v>
      </c>
      <c r="AU454" s="1233">
        <f>$F$56</f>
        <v>0</v>
      </c>
      <c r="AV454" s="1233">
        <f>$F$56</f>
        <v>0</v>
      </c>
      <c r="AW454" s="1233">
        <f>$F$56</f>
        <v>0</v>
      </c>
      <c r="AX454" s="1233">
        <f>$F$56</f>
        <v>0</v>
      </c>
      <c r="AY454" s="1233">
        <f>$F$56</f>
        <v>0</v>
      </c>
      <c r="AZ454" s="1233">
        <f>$F$56</f>
        <v>0</v>
      </c>
      <c r="BA454" s="1233">
        <f>$F$56</f>
        <v>0</v>
      </c>
      <c r="BB454" s="1233">
        <f>$F$56</f>
        <v>0</v>
      </c>
      <c r="BC454" s="1233">
        <f>$F$56</f>
        <v>0</v>
      </c>
      <c r="BD454" s="1233">
        <f>$F$56</f>
        <v>0</v>
      </c>
      <c r="BE454" s="1233">
        <f t="shared" si="7374"/>
        <v>0</v>
      </c>
      <c r="BF454" s="1233">
        <f t="shared" si="7348"/>
        <v>0</v>
      </c>
      <c r="BG454" s="1233">
        <f t="shared" si="7321"/>
        <v>0</v>
      </c>
      <c r="BH454" s="1233">
        <f t="shared" si="7293"/>
        <v>0</v>
      </c>
      <c r="BI454" s="1233">
        <f t="shared" si="7264"/>
        <v>0</v>
      </c>
      <c r="BJ454" s="1233">
        <f t="shared" si="7234"/>
        <v>0</v>
      </c>
      <c r="BK454" s="1233">
        <f t="shared" si="7203"/>
        <v>0</v>
      </c>
      <c r="BL454" s="1233">
        <f t="shared" si="7171"/>
        <v>0</v>
      </c>
      <c r="BM454" s="1184"/>
      <c r="BN454" s="1184"/>
      <c r="BO454" s="1184"/>
      <c r="BP454" s="1184"/>
      <c r="BQ454" s="1184"/>
      <c r="BR454" s="1184"/>
      <c r="BS454" s="1184"/>
      <c r="BT454" s="1184"/>
      <c r="BU454" s="1184"/>
      <c r="BV454" s="1184"/>
      <c r="BW454" s="1184"/>
      <c r="BX454" s="1184"/>
      <c r="BY454" s="1184"/>
      <c r="BZ454" s="208"/>
      <c r="CA454" s="208"/>
      <c r="CB454" s="208"/>
      <c r="CC454" s="208"/>
      <c r="CD454" s="211"/>
    </row>
    <row r="455" ht="18" customHeight="1">
      <c r="A455" s="207"/>
      <c r="B455" s="208"/>
      <c r="C455" s="208"/>
      <c r="D455" s="208"/>
      <c r="E455" s="208"/>
      <c r="F455" s="1185"/>
      <c r="G455" s="208"/>
      <c r="H455" s="208"/>
      <c r="I455" s="208"/>
      <c r="J455" s="208"/>
      <c r="K455" s="208"/>
      <c r="L455" s="208"/>
      <c r="M455" s="208"/>
      <c r="N455" s="208"/>
      <c r="O455" s="208"/>
      <c r="P455" s="208"/>
      <c r="Q455" s="208"/>
      <c r="R455" s="208"/>
      <c r="S455" s="208"/>
      <c r="T455" s="208"/>
      <c r="U455" s="208"/>
      <c r="V455" s="208"/>
      <c r="W455" s="208"/>
      <c r="X455" s="208"/>
      <c r="Y455" s="208"/>
      <c r="Z455" s="208"/>
      <c r="AA455" s="208"/>
      <c r="AB455" s="208"/>
      <c r="AC455" s="208"/>
      <c r="AD455" s="208"/>
      <c r="AE455" s="208"/>
      <c r="AF455" s="208"/>
      <c r="AG455" s="208"/>
      <c r="AH455" s="208"/>
      <c r="AI455" s="208"/>
      <c r="AJ455" s="208"/>
      <c r="AK455" s="208"/>
      <c r="AL455" s="208"/>
      <c r="AM455" s="208"/>
      <c r="AN455" s="208"/>
      <c r="AO455" s="208"/>
      <c r="AP455" s="208"/>
      <c r="AQ455" s="208"/>
      <c r="AR455" s="208"/>
      <c r="AS455" s="1184"/>
      <c r="AT455" s="1184"/>
      <c r="AU455" s="1233">
        <f>$F$56</f>
        <v>0</v>
      </c>
      <c r="AV455" s="1233">
        <f>$F$56</f>
        <v>0</v>
      </c>
      <c r="AW455" s="1233">
        <f>$F$56</f>
        <v>0</v>
      </c>
      <c r="AX455" s="1286">
        <f>$F$56</f>
        <v>0</v>
      </c>
      <c r="AY455" s="1233">
        <f>$F$56</f>
        <v>0</v>
      </c>
      <c r="AZ455" s="1233">
        <f>$F$56</f>
        <v>0</v>
      </c>
      <c r="BA455" s="1233">
        <f>$F$56</f>
        <v>0</v>
      </c>
      <c r="BB455" s="1233">
        <f>$F$56</f>
        <v>0</v>
      </c>
      <c r="BC455" s="1233">
        <f>$F$56</f>
        <v>0</v>
      </c>
      <c r="BD455" s="1233">
        <f>$F$56</f>
        <v>0</v>
      </c>
      <c r="BE455" s="1233">
        <f>$F$56</f>
        <v>0</v>
      </c>
      <c r="BF455" s="1233">
        <f t="shared" si="7374"/>
        <v>0</v>
      </c>
      <c r="BG455" s="1233">
        <f t="shared" si="7348"/>
        <v>0</v>
      </c>
      <c r="BH455" s="1233">
        <f t="shared" si="7321"/>
        <v>0</v>
      </c>
      <c r="BI455" s="1233">
        <f t="shared" si="7293"/>
        <v>0</v>
      </c>
      <c r="BJ455" s="1233">
        <f t="shared" si="7264"/>
        <v>0</v>
      </c>
      <c r="BK455" s="1233">
        <f t="shared" si="7234"/>
        <v>0</v>
      </c>
      <c r="BL455" s="1233">
        <f t="shared" si="7203"/>
        <v>0</v>
      </c>
      <c r="BM455" s="1184"/>
      <c r="BN455" s="1184"/>
      <c r="BO455" s="1184"/>
      <c r="BP455" s="1184"/>
      <c r="BQ455" s="1184"/>
      <c r="BR455" s="1184"/>
      <c r="BS455" s="1184"/>
      <c r="BT455" s="1184"/>
      <c r="BU455" s="1184"/>
      <c r="BV455" s="1184"/>
      <c r="BW455" s="1184"/>
      <c r="BX455" s="1184"/>
      <c r="BY455" s="1184"/>
      <c r="BZ455" s="208"/>
      <c r="CA455" s="208"/>
      <c r="CB455" s="208"/>
      <c r="CC455" s="208"/>
      <c r="CD455" s="211"/>
    </row>
    <row r="456" ht="18" customHeight="1">
      <c r="A456" s="207"/>
      <c r="B456" s="208"/>
      <c r="C456" s="208"/>
      <c r="D456" s="208"/>
      <c r="E456" s="208"/>
      <c r="F456" s="1185"/>
      <c r="G456" s="208"/>
      <c r="H456" s="208"/>
      <c r="I456" s="208"/>
      <c r="J456" s="208"/>
      <c r="K456" s="208"/>
      <c r="L456" s="208"/>
      <c r="M456" s="208"/>
      <c r="N456" s="208"/>
      <c r="O456" s="208"/>
      <c r="P456" s="208"/>
      <c r="Q456" s="208"/>
      <c r="R456" s="208"/>
      <c r="S456" s="208"/>
      <c r="T456" s="208"/>
      <c r="U456" s="208"/>
      <c r="V456" s="208"/>
      <c r="W456" s="208"/>
      <c r="X456" s="208"/>
      <c r="Y456" s="208"/>
      <c r="Z456" s="208"/>
      <c r="AA456" s="208"/>
      <c r="AB456" s="208"/>
      <c r="AC456" s="208"/>
      <c r="AD456" s="208"/>
      <c r="AE456" s="208"/>
      <c r="AF456" s="208"/>
      <c r="AG456" s="208"/>
      <c r="AH456" s="208"/>
      <c r="AI456" s="208"/>
      <c r="AJ456" s="208"/>
      <c r="AK456" s="208"/>
      <c r="AL456" s="208"/>
      <c r="AM456" s="208"/>
      <c r="AN456" s="208"/>
      <c r="AO456" s="208"/>
      <c r="AP456" s="208"/>
      <c r="AQ456" s="208"/>
      <c r="AR456" s="208"/>
      <c r="AS456" s="1184"/>
      <c r="AT456" s="1184"/>
      <c r="AU456" s="1184"/>
      <c r="AV456" s="1233">
        <f>$F$56</f>
        <v>0</v>
      </c>
      <c r="AW456" s="1233">
        <f>$F$56</f>
        <v>0</v>
      </c>
      <c r="AX456" s="1286">
        <f>$F$56</f>
        <v>0</v>
      </c>
      <c r="AY456" s="1286">
        <f>$F$56</f>
        <v>0</v>
      </c>
      <c r="AZ456" s="1233">
        <f>$F$56</f>
        <v>0</v>
      </c>
      <c r="BA456" s="1233">
        <f>$F$56</f>
        <v>0</v>
      </c>
      <c r="BB456" s="1233">
        <f>$F$56</f>
        <v>0</v>
      </c>
      <c r="BC456" s="1233">
        <f>$F$56</f>
        <v>0</v>
      </c>
      <c r="BD456" s="1233">
        <f>$F$56</f>
        <v>0</v>
      </c>
      <c r="BE456" s="1233">
        <f>$F$56</f>
        <v>0</v>
      </c>
      <c r="BF456" s="1233">
        <f>$F$56</f>
        <v>0</v>
      </c>
      <c r="BG456" s="1233">
        <f t="shared" si="7374"/>
        <v>0</v>
      </c>
      <c r="BH456" s="1233">
        <f t="shared" si="7348"/>
        <v>0</v>
      </c>
      <c r="BI456" s="1233">
        <f t="shared" si="7321"/>
        <v>0</v>
      </c>
      <c r="BJ456" s="1233">
        <f t="shared" si="7293"/>
        <v>0</v>
      </c>
      <c r="BK456" s="1233">
        <f t="shared" si="7264"/>
        <v>0</v>
      </c>
      <c r="BL456" s="1233">
        <f t="shared" si="7234"/>
        <v>0</v>
      </c>
      <c r="BM456" s="1184"/>
      <c r="BN456" s="1184"/>
      <c r="BO456" s="1184"/>
      <c r="BP456" s="1184"/>
      <c r="BQ456" s="1184"/>
      <c r="BR456" s="1184"/>
      <c r="BS456" s="1184"/>
      <c r="BT456" s="1184"/>
      <c r="BU456" s="1184"/>
      <c r="BV456" s="1184"/>
      <c r="BW456" s="1184"/>
      <c r="BX456" s="1184"/>
      <c r="BY456" s="1184"/>
      <c r="BZ456" s="208"/>
      <c r="CA456" s="208"/>
      <c r="CB456" s="208"/>
      <c r="CC456" s="208"/>
      <c r="CD456" s="211"/>
    </row>
    <row r="457" ht="18" customHeight="1">
      <c r="A457" s="207"/>
      <c r="B457" s="208"/>
      <c r="C457" s="208"/>
      <c r="D457" s="208"/>
      <c r="E457" s="208"/>
      <c r="F457" s="1185"/>
      <c r="G457" s="208"/>
      <c r="H457" s="208"/>
      <c r="I457" s="208"/>
      <c r="J457" s="208"/>
      <c r="K457" s="208"/>
      <c r="L457" s="208"/>
      <c r="M457" s="208"/>
      <c r="N457" s="208"/>
      <c r="O457" s="208"/>
      <c r="P457" s="208"/>
      <c r="Q457" s="208"/>
      <c r="R457" s="208"/>
      <c r="S457" s="208"/>
      <c r="T457" s="208"/>
      <c r="U457" s="208"/>
      <c r="V457" s="208"/>
      <c r="W457" s="208"/>
      <c r="X457" s="208"/>
      <c r="Y457" s="208"/>
      <c r="Z457" s="208"/>
      <c r="AA457" s="208"/>
      <c r="AB457" s="208"/>
      <c r="AC457" s="208"/>
      <c r="AD457" s="208"/>
      <c r="AE457" s="208"/>
      <c r="AF457" s="208"/>
      <c r="AG457" s="208"/>
      <c r="AH457" s="208"/>
      <c r="AI457" s="208"/>
      <c r="AJ457" s="208"/>
      <c r="AK457" s="208"/>
      <c r="AL457" s="208"/>
      <c r="AM457" s="208"/>
      <c r="AN457" s="208"/>
      <c r="AO457" s="208"/>
      <c r="AP457" s="208"/>
      <c r="AQ457" s="208"/>
      <c r="AR457" s="208"/>
      <c r="AS457" s="1184"/>
      <c r="AT457" s="1184"/>
      <c r="AU457" s="1184"/>
      <c r="AV457" s="1184"/>
      <c r="AW457" s="1233">
        <f>$F$56</f>
        <v>0</v>
      </c>
      <c r="AX457" s="1286">
        <f>$F$56</f>
        <v>0</v>
      </c>
      <c r="AY457" s="1286">
        <f>$F$56</f>
        <v>0</v>
      </c>
      <c r="AZ457" s="1286">
        <f>$F$56</f>
        <v>0</v>
      </c>
      <c r="BA457" s="1233">
        <f>$F$56</f>
        <v>0</v>
      </c>
      <c r="BB457" s="1233">
        <f>$F$56</f>
        <v>0</v>
      </c>
      <c r="BC457" s="1233">
        <f>$F$56</f>
        <v>0</v>
      </c>
      <c r="BD457" s="1233">
        <f>$F$56</f>
        <v>0</v>
      </c>
      <c r="BE457" s="1233">
        <f>$F$56</f>
        <v>0</v>
      </c>
      <c r="BF457" s="1233">
        <f>$F$56</f>
        <v>0</v>
      </c>
      <c r="BG457" s="1233">
        <f>$F$56</f>
        <v>0</v>
      </c>
      <c r="BH457" s="1233">
        <f t="shared" si="7374"/>
        <v>0</v>
      </c>
      <c r="BI457" s="1233">
        <f t="shared" si="7348"/>
        <v>0</v>
      </c>
      <c r="BJ457" s="1233">
        <f t="shared" si="7321"/>
        <v>0</v>
      </c>
      <c r="BK457" s="1233">
        <f t="shared" si="7293"/>
        <v>0</v>
      </c>
      <c r="BL457" s="1233">
        <f t="shared" si="7264"/>
        <v>0</v>
      </c>
      <c r="BM457" s="1184"/>
      <c r="BN457" s="1184"/>
      <c r="BO457" s="1184"/>
      <c r="BP457" s="1184"/>
      <c r="BQ457" s="1184"/>
      <c r="BR457" s="1184"/>
      <c r="BS457" s="1184"/>
      <c r="BT457" s="1184"/>
      <c r="BU457" s="1184"/>
      <c r="BV457" s="1184"/>
      <c r="BW457" s="1184"/>
      <c r="BX457" s="1184"/>
      <c r="BY457" s="1184"/>
      <c r="BZ457" s="208"/>
      <c r="CA457" s="208"/>
      <c r="CB457" s="208"/>
      <c r="CC457" s="208"/>
      <c r="CD457" s="211"/>
    </row>
    <row r="458" ht="18" customHeight="1">
      <c r="A458" s="207"/>
      <c r="B458" s="208"/>
      <c r="C458" s="208"/>
      <c r="D458" s="208"/>
      <c r="E458" s="208"/>
      <c r="F458" s="1185"/>
      <c r="G458" s="208"/>
      <c r="H458" s="208"/>
      <c r="I458" s="208"/>
      <c r="J458" s="208"/>
      <c r="K458" s="208"/>
      <c r="L458" s="208"/>
      <c r="M458" s="208"/>
      <c r="N458" s="208"/>
      <c r="O458" s="208"/>
      <c r="P458" s="208"/>
      <c r="Q458" s="208"/>
      <c r="R458" s="208"/>
      <c r="S458" s="208"/>
      <c r="T458" s="208"/>
      <c r="U458" s="208"/>
      <c r="V458" s="208"/>
      <c r="W458" s="208"/>
      <c r="X458" s="208"/>
      <c r="Y458" s="208"/>
      <c r="Z458" s="208"/>
      <c r="AA458" s="208"/>
      <c r="AB458" s="208"/>
      <c r="AC458" s="208"/>
      <c r="AD458" s="208"/>
      <c r="AE458" s="208"/>
      <c r="AF458" s="208"/>
      <c r="AG458" s="208"/>
      <c r="AH458" s="208"/>
      <c r="AI458" s="208"/>
      <c r="AJ458" s="208"/>
      <c r="AK458" s="208"/>
      <c r="AL458" s="208"/>
      <c r="AM458" s="208"/>
      <c r="AN458" s="208"/>
      <c r="AO458" s="208"/>
      <c r="AP458" s="208"/>
      <c r="AQ458" s="208"/>
      <c r="AR458" s="208"/>
      <c r="AS458" s="1184"/>
      <c r="AT458" s="1184"/>
      <c r="AU458" s="1184"/>
      <c r="AV458" s="1184"/>
      <c r="AW458" s="1184"/>
      <c r="AX458" s="1286">
        <f>$F$56</f>
        <v>0</v>
      </c>
      <c r="AY458" s="1286">
        <f>$F$56</f>
        <v>0</v>
      </c>
      <c r="AZ458" s="1286">
        <f>$F$56</f>
        <v>0</v>
      </c>
      <c r="BA458" s="1233">
        <f>$F$56</f>
        <v>0</v>
      </c>
      <c r="BB458" s="1233">
        <f>$F$56</f>
        <v>0</v>
      </c>
      <c r="BC458" s="1233">
        <f>$F$56</f>
        <v>0</v>
      </c>
      <c r="BD458" s="1233">
        <f>$F$56</f>
        <v>0</v>
      </c>
      <c r="BE458" s="1233">
        <f>$F$56</f>
        <v>0</v>
      </c>
      <c r="BF458" s="1233">
        <f>$F$56</f>
        <v>0</v>
      </c>
      <c r="BG458" s="1233">
        <f>$F$56</f>
        <v>0</v>
      </c>
      <c r="BH458" s="1233">
        <f>$F$56</f>
        <v>0</v>
      </c>
      <c r="BI458" s="1233">
        <f t="shared" si="7374"/>
        <v>0</v>
      </c>
      <c r="BJ458" s="1233">
        <f t="shared" si="7348"/>
        <v>0</v>
      </c>
      <c r="BK458" s="1233">
        <f t="shared" si="7321"/>
        <v>0</v>
      </c>
      <c r="BL458" s="1233">
        <f t="shared" si="7293"/>
        <v>0</v>
      </c>
      <c r="BM458" s="1184"/>
      <c r="BN458" s="1184"/>
      <c r="BO458" s="1184"/>
      <c r="BP458" s="1184"/>
      <c r="BQ458" s="1184"/>
      <c r="BR458" s="1184"/>
      <c r="BS458" s="1184"/>
      <c r="BT458" s="1184"/>
      <c r="BU458" s="1184"/>
      <c r="BV458" s="1184"/>
      <c r="BW458" s="1184"/>
      <c r="BX458" s="1184"/>
      <c r="BY458" s="1184"/>
      <c r="BZ458" s="208"/>
      <c r="CA458" s="208"/>
      <c r="CB458" s="208"/>
      <c r="CC458" s="208"/>
      <c r="CD458" s="211"/>
    </row>
    <row r="459" ht="18" customHeight="1">
      <c r="A459" s="207"/>
      <c r="B459" s="208"/>
      <c r="C459" s="208"/>
      <c r="D459" s="208"/>
      <c r="E459" s="208"/>
      <c r="F459" s="1185"/>
      <c r="G459" s="208"/>
      <c r="H459" s="208"/>
      <c r="I459" s="208"/>
      <c r="J459" s="208"/>
      <c r="K459" s="208"/>
      <c r="L459" s="208"/>
      <c r="M459" s="208"/>
      <c r="N459" s="208"/>
      <c r="O459" s="208"/>
      <c r="P459" s="208"/>
      <c r="Q459" s="208"/>
      <c r="R459" s="208"/>
      <c r="S459" s="208"/>
      <c r="T459" s="208"/>
      <c r="U459" s="208"/>
      <c r="V459" s="208"/>
      <c r="W459" s="208"/>
      <c r="X459" s="208"/>
      <c r="Y459" s="208"/>
      <c r="Z459" s="208"/>
      <c r="AA459" s="208"/>
      <c r="AB459" s="208"/>
      <c r="AC459" s="208"/>
      <c r="AD459" s="208"/>
      <c r="AE459" s="208"/>
      <c r="AF459" s="208"/>
      <c r="AG459" s="208"/>
      <c r="AH459" s="208"/>
      <c r="AI459" s="208"/>
      <c r="AJ459" s="208"/>
      <c r="AK459" s="208"/>
      <c r="AL459" s="208"/>
      <c r="AM459" s="208"/>
      <c r="AN459" s="208"/>
      <c r="AO459" s="208"/>
      <c r="AP459" s="208"/>
      <c r="AQ459" s="208"/>
      <c r="AR459" s="208"/>
      <c r="AS459" s="1184"/>
      <c r="AT459" s="1184"/>
      <c r="AU459" s="1184"/>
      <c r="AV459" s="1184"/>
      <c r="AW459" s="1184"/>
      <c r="AX459" s="1184"/>
      <c r="AY459" s="1286">
        <f>$F$56</f>
        <v>0</v>
      </c>
      <c r="AZ459" s="1286">
        <f>$F$56</f>
        <v>0</v>
      </c>
      <c r="BA459" s="1233">
        <f>$F$56</f>
        <v>0</v>
      </c>
      <c r="BB459" s="1233">
        <f>$F$56</f>
        <v>0</v>
      </c>
      <c r="BC459" s="1233">
        <f>$F$56</f>
        <v>0</v>
      </c>
      <c r="BD459" s="1233">
        <f>$F$56</f>
        <v>0</v>
      </c>
      <c r="BE459" s="1233">
        <f>$F$56</f>
        <v>0</v>
      </c>
      <c r="BF459" s="1233">
        <f>$F$56</f>
        <v>0</v>
      </c>
      <c r="BG459" s="1233">
        <f>$F$56</f>
        <v>0</v>
      </c>
      <c r="BH459" s="1233">
        <f>$F$56</f>
        <v>0</v>
      </c>
      <c r="BI459" s="1233">
        <f>$F$56</f>
        <v>0</v>
      </c>
      <c r="BJ459" s="1233">
        <f t="shared" si="7374"/>
        <v>0</v>
      </c>
      <c r="BK459" s="1233">
        <f t="shared" si="7348"/>
        <v>0</v>
      </c>
      <c r="BL459" s="1233">
        <f t="shared" si="7321"/>
        <v>0</v>
      </c>
      <c r="BM459" s="1184"/>
      <c r="BN459" s="1184"/>
      <c r="BO459" s="1184"/>
      <c r="BP459" s="1184"/>
      <c r="BQ459" s="1184"/>
      <c r="BR459" s="1184"/>
      <c r="BS459" s="1184"/>
      <c r="BT459" s="1184"/>
      <c r="BU459" s="1184"/>
      <c r="BV459" s="1184"/>
      <c r="BW459" s="1184"/>
      <c r="BX459" s="1184"/>
      <c r="BY459" s="1184"/>
      <c r="BZ459" s="208"/>
      <c r="CA459" s="208"/>
      <c r="CB459" s="208"/>
      <c r="CC459" s="208"/>
      <c r="CD459" s="211"/>
    </row>
    <row r="460" ht="18" customHeight="1">
      <c r="A460" s="207"/>
      <c r="B460" s="208"/>
      <c r="C460" s="208"/>
      <c r="D460" s="208"/>
      <c r="E460" s="208"/>
      <c r="F460" s="1185"/>
      <c r="G460" s="208"/>
      <c r="H460" s="208"/>
      <c r="I460" s="208"/>
      <c r="J460" s="208"/>
      <c r="K460" s="208"/>
      <c r="L460" s="208"/>
      <c r="M460" s="208"/>
      <c r="N460" s="208"/>
      <c r="O460" s="208"/>
      <c r="P460" s="208"/>
      <c r="Q460" s="208"/>
      <c r="R460" s="208"/>
      <c r="S460" s="208"/>
      <c r="T460" s="208"/>
      <c r="U460" s="208"/>
      <c r="V460" s="208"/>
      <c r="W460" s="208"/>
      <c r="X460" s="208"/>
      <c r="Y460" s="208"/>
      <c r="Z460" s="208"/>
      <c r="AA460" s="208"/>
      <c r="AB460" s="208"/>
      <c r="AC460" s="208"/>
      <c r="AD460" s="208"/>
      <c r="AE460" s="208"/>
      <c r="AF460" s="208"/>
      <c r="AG460" s="208"/>
      <c r="AH460" s="208"/>
      <c r="AI460" s="208"/>
      <c r="AJ460" s="208"/>
      <c r="AK460" s="208"/>
      <c r="AL460" s="208"/>
      <c r="AM460" s="208"/>
      <c r="AN460" s="208"/>
      <c r="AO460" s="208"/>
      <c r="AP460" s="208"/>
      <c r="AQ460" s="208"/>
      <c r="AR460" s="208"/>
      <c r="AS460" s="1184"/>
      <c r="AT460" s="1184"/>
      <c r="AU460" s="1184"/>
      <c r="AV460" s="1184"/>
      <c r="AW460" s="1184"/>
      <c r="AX460" s="1184"/>
      <c r="AY460" s="1184"/>
      <c r="AZ460" s="1286">
        <f>$F$56</f>
        <v>0</v>
      </c>
      <c r="BA460" s="1233">
        <f>$F$56</f>
        <v>0</v>
      </c>
      <c r="BB460" s="1233">
        <f>$F$56</f>
        <v>0</v>
      </c>
      <c r="BC460" s="1233">
        <f>$F$56</f>
        <v>0</v>
      </c>
      <c r="BD460" s="1233">
        <f>$F$56</f>
        <v>0</v>
      </c>
      <c r="BE460" s="1233">
        <f>$F$56</f>
        <v>0</v>
      </c>
      <c r="BF460" s="1233">
        <f>$F$56</f>
        <v>0</v>
      </c>
      <c r="BG460" s="1233">
        <f>$F$56</f>
        <v>0</v>
      </c>
      <c r="BH460" s="1233">
        <f>$F$56</f>
        <v>0</v>
      </c>
      <c r="BI460" s="1233">
        <f>$F$56</f>
        <v>0</v>
      </c>
      <c r="BJ460" s="1233">
        <f>$F$56</f>
        <v>0</v>
      </c>
      <c r="BK460" s="1233">
        <f t="shared" si="7374"/>
        <v>0</v>
      </c>
      <c r="BL460" s="1233">
        <f t="shared" si="7348"/>
        <v>0</v>
      </c>
      <c r="BM460" s="1184"/>
      <c r="BN460" s="1184"/>
      <c r="BO460" s="1184"/>
      <c r="BP460" s="1184"/>
      <c r="BQ460" s="1184"/>
      <c r="BR460" s="1184"/>
      <c r="BS460" s="1184"/>
      <c r="BT460" s="1184"/>
      <c r="BU460" s="1184"/>
      <c r="BV460" s="1184"/>
      <c r="BW460" s="1184"/>
      <c r="BX460" s="1184"/>
      <c r="BY460" s="1184"/>
      <c r="BZ460" s="208"/>
      <c r="CA460" s="208"/>
      <c r="CB460" s="208"/>
      <c r="CC460" s="208"/>
      <c r="CD460" s="211"/>
    </row>
    <row r="461" ht="18" customHeight="1">
      <c r="A461" s="207"/>
      <c r="B461" s="208"/>
      <c r="C461" s="208"/>
      <c r="D461" s="208"/>
      <c r="E461" s="208"/>
      <c r="F461" s="1185"/>
      <c r="G461" s="208"/>
      <c r="H461" s="208"/>
      <c r="I461" s="208"/>
      <c r="J461" s="208"/>
      <c r="K461" s="208"/>
      <c r="L461" s="208"/>
      <c r="M461" s="208"/>
      <c r="N461" s="208"/>
      <c r="O461" s="208"/>
      <c r="P461" s="208"/>
      <c r="Q461" s="208"/>
      <c r="R461" s="208"/>
      <c r="S461" s="208"/>
      <c r="T461" s="208"/>
      <c r="U461" s="208"/>
      <c r="V461" s="208"/>
      <c r="W461" s="208"/>
      <c r="X461" s="208"/>
      <c r="Y461" s="208"/>
      <c r="Z461" s="208"/>
      <c r="AA461" s="208"/>
      <c r="AB461" s="208"/>
      <c r="AC461" s="208"/>
      <c r="AD461" s="208"/>
      <c r="AE461" s="208"/>
      <c r="AF461" s="208"/>
      <c r="AG461" s="208"/>
      <c r="AH461" s="208"/>
      <c r="AI461" s="208"/>
      <c r="AJ461" s="208"/>
      <c r="AK461" s="208"/>
      <c r="AL461" s="208"/>
      <c r="AM461" s="208"/>
      <c r="AN461" s="208"/>
      <c r="AO461" s="208"/>
      <c r="AP461" s="208"/>
      <c r="AQ461" s="208"/>
      <c r="AR461" s="208"/>
      <c r="AS461" s="1184"/>
      <c r="AT461" s="1184"/>
      <c r="AU461" s="1184"/>
      <c r="AV461" s="1184"/>
      <c r="AW461" s="1184"/>
      <c r="AX461" s="1184"/>
      <c r="AY461" s="1184"/>
      <c r="AZ461" s="1184"/>
      <c r="BA461" s="1233">
        <f>$F$56</f>
        <v>0</v>
      </c>
      <c r="BB461" s="1233">
        <f>$F$56</f>
        <v>0</v>
      </c>
      <c r="BC461" s="1233">
        <f>$F$56</f>
        <v>0</v>
      </c>
      <c r="BD461" s="1233">
        <f>$F$56</f>
        <v>0</v>
      </c>
      <c r="BE461" s="1233">
        <f>$F$56</f>
        <v>0</v>
      </c>
      <c r="BF461" s="1233">
        <f>$F$56</f>
        <v>0</v>
      </c>
      <c r="BG461" s="1233">
        <f>$F$56</f>
        <v>0</v>
      </c>
      <c r="BH461" s="1233">
        <f>$F$56</f>
        <v>0</v>
      </c>
      <c r="BI461" s="1233">
        <f>$F$56</f>
        <v>0</v>
      </c>
      <c r="BJ461" s="1233">
        <f>$F$56</f>
        <v>0</v>
      </c>
      <c r="BK461" s="1233">
        <f>$F$56</f>
        <v>0</v>
      </c>
      <c r="BL461" s="1233">
        <f t="shared" si="7374"/>
        <v>0</v>
      </c>
      <c r="BM461" s="1184"/>
      <c r="BN461" s="1184"/>
      <c r="BO461" s="1184"/>
      <c r="BP461" s="1184"/>
      <c r="BQ461" s="1184"/>
      <c r="BR461" s="1184"/>
      <c r="BS461" s="1184"/>
      <c r="BT461" s="1184"/>
      <c r="BU461" s="1184"/>
      <c r="BV461" s="1184"/>
      <c r="BW461" s="1184"/>
      <c r="BX461" s="1184"/>
      <c r="BY461" s="1184"/>
      <c r="BZ461" s="208"/>
      <c r="CA461" s="208"/>
      <c r="CB461" s="208"/>
      <c r="CC461" s="208"/>
      <c r="CD461" s="211"/>
    </row>
    <row r="462" ht="18" customHeight="1">
      <c r="A462" s="207"/>
      <c r="B462" s="208"/>
      <c r="C462" s="208"/>
      <c r="D462" s="208"/>
      <c r="E462" s="208"/>
      <c r="F462" s="1185"/>
      <c r="G462" s="208"/>
      <c r="H462" s="208"/>
      <c r="I462" s="208"/>
      <c r="J462" s="208"/>
      <c r="K462" s="208"/>
      <c r="L462" s="208"/>
      <c r="M462" s="208"/>
      <c r="N462" s="208"/>
      <c r="O462" s="208"/>
      <c r="P462" s="208"/>
      <c r="Q462" s="208"/>
      <c r="R462" s="208"/>
      <c r="S462" s="208"/>
      <c r="T462" s="208"/>
      <c r="U462" s="208"/>
      <c r="V462" s="208"/>
      <c r="W462" s="208"/>
      <c r="X462" s="208"/>
      <c r="Y462" s="208"/>
      <c r="Z462" s="208"/>
      <c r="AA462" s="208"/>
      <c r="AB462" s="208"/>
      <c r="AC462" s="208"/>
      <c r="AD462" s="208"/>
      <c r="AE462" s="208"/>
      <c r="AF462" s="208"/>
      <c r="AG462" s="208"/>
      <c r="AH462" s="208"/>
      <c r="AI462" s="208"/>
      <c r="AJ462" s="208"/>
      <c r="AK462" s="208"/>
      <c r="AL462" s="208"/>
      <c r="AM462" s="208"/>
      <c r="AN462" s="208"/>
      <c r="AO462" s="208"/>
      <c r="AP462" s="208"/>
      <c r="AQ462" s="208"/>
      <c r="AR462" s="208"/>
      <c r="AS462" s="1184"/>
      <c r="AT462" s="1184"/>
      <c r="AU462" s="1184"/>
      <c r="AV462" s="1184"/>
      <c r="AW462" s="1184"/>
      <c r="AX462" s="1184"/>
      <c r="AY462" s="1184"/>
      <c r="AZ462" s="1184"/>
      <c r="BA462" s="1184"/>
      <c r="BB462" s="1233">
        <f>$F$56</f>
        <v>0</v>
      </c>
      <c r="BC462" s="1233">
        <f>$F$56</f>
        <v>0</v>
      </c>
      <c r="BD462" s="1233">
        <f>$F$56</f>
        <v>0</v>
      </c>
      <c r="BE462" s="1233">
        <f>$F$56</f>
        <v>0</v>
      </c>
      <c r="BF462" s="1233">
        <f>$F$56</f>
        <v>0</v>
      </c>
      <c r="BG462" s="1233">
        <f>$F$56</f>
        <v>0</v>
      </c>
      <c r="BH462" s="1233">
        <f>$F$56</f>
        <v>0</v>
      </c>
      <c r="BI462" s="1233">
        <f>$F$56</f>
        <v>0</v>
      </c>
      <c r="BJ462" s="1233">
        <f>$F$56</f>
        <v>0</v>
      </c>
      <c r="BK462" s="1233">
        <f>$F$56</f>
        <v>0</v>
      </c>
      <c r="BL462" s="1233">
        <f>$F$56</f>
        <v>0</v>
      </c>
      <c r="BM462" s="1184"/>
      <c r="BN462" s="1184"/>
      <c r="BO462" s="1184"/>
      <c r="BP462" s="1184"/>
      <c r="BQ462" s="1184"/>
      <c r="BR462" s="1184"/>
      <c r="BS462" s="1184"/>
      <c r="BT462" s="1184"/>
      <c r="BU462" s="1184"/>
      <c r="BV462" s="1184"/>
      <c r="BW462" s="1184"/>
      <c r="BX462" s="1184"/>
      <c r="BY462" s="1184"/>
      <c r="BZ462" s="208"/>
      <c r="CA462" s="208"/>
      <c r="CB462" s="208"/>
      <c r="CC462" s="208"/>
      <c r="CD462" s="211"/>
    </row>
    <row r="463" ht="18" customHeight="1">
      <c r="A463" s="207"/>
      <c r="B463" s="208"/>
      <c r="C463" s="208"/>
      <c r="D463" s="208"/>
      <c r="E463" s="208"/>
      <c r="F463" s="1185"/>
      <c r="G463" s="208"/>
      <c r="H463" s="208"/>
      <c r="I463" s="208"/>
      <c r="J463" s="208"/>
      <c r="K463" s="208"/>
      <c r="L463" s="208"/>
      <c r="M463" s="208"/>
      <c r="N463" s="208"/>
      <c r="O463" s="208"/>
      <c r="P463" s="208"/>
      <c r="Q463" s="208"/>
      <c r="R463" s="208"/>
      <c r="S463" s="208"/>
      <c r="T463" s="208"/>
      <c r="U463" s="208"/>
      <c r="V463" s="208"/>
      <c r="W463" s="208"/>
      <c r="X463" s="208"/>
      <c r="Y463" s="208"/>
      <c r="Z463" s="208"/>
      <c r="AA463" s="208"/>
      <c r="AB463" s="208"/>
      <c r="AC463" s="208"/>
      <c r="AD463" s="208"/>
      <c r="AE463" s="208"/>
      <c r="AF463" s="208"/>
      <c r="AG463" s="208"/>
      <c r="AH463" s="208"/>
      <c r="AI463" s="208"/>
      <c r="AJ463" s="208"/>
      <c r="AK463" s="208"/>
      <c r="AL463" s="208"/>
      <c r="AM463" s="208"/>
      <c r="AN463" s="208"/>
      <c r="AO463" s="208"/>
      <c r="AP463" s="208"/>
      <c r="AQ463" s="208"/>
      <c r="AR463" s="208"/>
      <c r="AS463" s="1184"/>
      <c r="AT463" s="1184"/>
      <c r="AU463" s="1184"/>
      <c r="AV463" s="1184"/>
      <c r="AW463" s="1184"/>
      <c r="AX463" s="1184"/>
      <c r="AY463" s="1184"/>
      <c r="AZ463" s="1184"/>
      <c r="BA463" s="1184"/>
      <c r="BB463" s="1184"/>
      <c r="BC463" s="1233">
        <f>$F$56</f>
        <v>0</v>
      </c>
      <c r="BD463" s="1233">
        <f>$F$56</f>
        <v>0</v>
      </c>
      <c r="BE463" s="1233">
        <f>$F$56</f>
        <v>0</v>
      </c>
      <c r="BF463" s="1233">
        <f>$F$56</f>
        <v>0</v>
      </c>
      <c r="BG463" s="1233">
        <f>$F$56</f>
        <v>0</v>
      </c>
      <c r="BH463" s="1233">
        <f>$F$56</f>
        <v>0</v>
      </c>
      <c r="BI463" s="1233">
        <f>$F$56</f>
        <v>0</v>
      </c>
      <c r="BJ463" s="1233">
        <f>$F$56</f>
        <v>0</v>
      </c>
      <c r="BK463" s="1233">
        <f>$F$56</f>
        <v>0</v>
      </c>
      <c r="BL463" s="1233">
        <f>$F$56</f>
        <v>0</v>
      </c>
      <c r="BM463" s="1184"/>
      <c r="BN463" s="1184"/>
      <c r="BO463" s="1184"/>
      <c r="BP463" s="1184"/>
      <c r="BQ463" s="1184"/>
      <c r="BR463" s="1184"/>
      <c r="BS463" s="1184"/>
      <c r="BT463" s="1184"/>
      <c r="BU463" s="1184"/>
      <c r="BV463" s="1184"/>
      <c r="BW463" s="1184"/>
      <c r="BX463" s="1184"/>
      <c r="BY463" s="1184"/>
      <c r="BZ463" s="208"/>
      <c r="CA463" s="208"/>
      <c r="CB463" s="208"/>
      <c r="CC463" s="208"/>
      <c r="CD463" s="211"/>
    </row>
    <row r="464" ht="18" customHeight="1">
      <c r="A464" s="207"/>
      <c r="B464" s="208"/>
      <c r="C464" s="208"/>
      <c r="D464" s="208"/>
      <c r="E464" s="208"/>
      <c r="F464" s="1185"/>
      <c r="G464" s="208"/>
      <c r="H464" s="208"/>
      <c r="I464" s="208"/>
      <c r="J464" s="208"/>
      <c r="K464" s="208"/>
      <c r="L464" s="208"/>
      <c r="M464" s="208"/>
      <c r="N464" s="208"/>
      <c r="O464" s="208"/>
      <c r="P464" s="208"/>
      <c r="Q464" s="208"/>
      <c r="R464" s="208"/>
      <c r="S464" s="208"/>
      <c r="T464" s="208"/>
      <c r="U464" s="208"/>
      <c r="V464" s="208"/>
      <c r="W464" s="208"/>
      <c r="X464" s="208"/>
      <c r="Y464" s="208"/>
      <c r="Z464" s="208"/>
      <c r="AA464" s="208"/>
      <c r="AB464" s="208"/>
      <c r="AC464" s="208"/>
      <c r="AD464" s="208"/>
      <c r="AE464" s="208"/>
      <c r="AF464" s="208"/>
      <c r="AG464" s="208"/>
      <c r="AH464" s="208"/>
      <c r="AI464" s="208"/>
      <c r="AJ464" s="208"/>
      <c r="AK464" s="208"/>
      <c r="AL464" s="208"/>
      <c r="AM464" s="208"/>
      <c r="AN464" s="208"/>
      <c r="AO464" s="208"/>
      <c r="AP464" s="208"/>
      <c r="AQ464" s="208"/>
      <c r="AR464" s="208"/>
      <c r="AS464" s="1184"/>
      <c r="AT464" s="1184"/>
      <c r="AU464" s="1184"/>
      <c r="AV464" s="1184"/>
      <c r="AW464" s="1184"/>
      <c r="AX464" s="1184"/>
      <c r="AY464" s="1184"/>
      <c r="AZ464" s="1184"/>
      <c r="BA464" s="1184"/>
      <c r="BB464" s="1184"/>
      <c r="BC464" s="1184"/>
      <c r="BD464" s="1233">
        <f>$F$56</f>
        <v>0</v>
      </c>
      <c r="BE464" s="1233">
        <f>$F$56</f>
        <v>0</v>
      </c>
      <c r="BF464" s="1233">
        <f>$F$56</f>
        <v>0</v>
      </c>
      <c r="BG464" s="1233">
        <f>$F$56</f>
        <v>0</v>
      </c>
      <c r="BH464" s="1233">
        <f>$F$56</f>
        <v>0</v>
      </c>
      <c r="BI464" s="1233">
        <f>$F$56</f>
        <v>0</v>
      </c>
      <c r="BJ464" s="1233">
        <f>$F$56</f>
        <v>0</v>
      </c>
      <c r="BK464" s="1233">
        <f>$F$56</f>
        <v>0</v>
      </c>
      <c r="BL464" s="1233">
        <f>$F$56</f>
        <v>0</v>
      </c>
      <c r="BM464" s="1184"/>
      <c r="BN464" s="1184"/>
      <c r="BO464" s="1184"/>
      <c r="BP464" s="1184"/>
      <c r="BQ464" s="1184"/>
      <c r="BR464" s="1184"/>
      <c r="BS464" s="1184"/>
      <c r="BT464" s="1184"/>
      <c r="BU464" s="1184"/>
      <c r="BV464" s="1184"/>
      <c r="BW464" s="1184"/>
      <c r="BX464" s="1184"/>
      <c r="BY464" s="1184"/>
      <c r="BZ464" s="208"/>
      <c r="CA464" s="208"/>
      <c r="CB464" s="208"/>
      <c r="CC464" s="208"/>
      <c r="CD464" s="211"/>
    </row>
    <row r="465" ht="18" customHeight="1">
      <c r="A465" s="207"/>
      <c r="B465" s="208"/>
      <c r="C465" s="208"/>
      <c r="D465" s="208"/>
      <c r="E465" s="208"/>
      <c r="F465" s="1185"/>
      <c r="G465" s="208"/>
      <c r="H465" s="208"/>
      <c r="I465" s="208"/>
      <c r="J465" s="208"/>
      <c r="K465" s="208"/>
      <c r="L465" s="208"/>
      <c r="M465" s="208"/>
      <c r="N465" s="208"/>
      <c r="O465" s="208"/>
      <c r="P465" s="208"/>
      <c r="Q465" s="208"/>
      <c r="R465" s="208"/>
      <c r="S465" s="208"/>
      <c r="T465" s="208"/>
      <c r="U465" s="208"/>
      <c r="V465" s="208"/>
      <c r="W465" s="208"/>
      <c r="X465" s="208"/>
      <c r="Y465" s="208"/>
      <c r="Z465" s="208"/>
      <c r="AA465" s="208"/>
      <c r="AB465" s="208"/>
      <c r="AC465" s="208"/>
      <c r="AD465" s="208"/>
      <c r="AE465" s="208"/>
      <c r="AF465" s="208"/>
      <c r="AG465" s="208"/>
      <c r="AH465" s="208"/>
      <c r="AI465" s="208"/>
      <c r="AJ465" s="208"/>
      <c r="AK465" s="208"/>
      <c r="AL465" s="208"/>
      <c r="AM465" s="208"/>
      <c r="AN465" s="208"/>
      <c r="AO465" s="208"/>
      <c r="AP465" s="208"/>
      <c r="AQ465" s="208"/>
      <c r="AR465" s="208"/>
      <c r="AS465" s="1184"/>
      <c r="AT465" s="1184"/>
      <c r="AU465" s="1184"/>
      <c r="AV465" s="1184"/>
      <c r="AW465" s="1184"/>
      <c r="AX465" s="1184"/>
      <c r="AY465" s="1184"/>
      <c r="AZ465" s="1184"/>
      <c r="BA465" s="1184"/>
      <c r="BB465" s="1184"/>
      <c r="BC465" s="1184"/>
      <c r="BD465" s="1184"/>
      <c r="BE465" s="1233">
        <f>$F$56</f>
        <v>0</v>
      </c>
      <c r="BF465" s="1233">
        <f>$F$56</f>
        <v>0</v>
      </c>
      <c r="BG465" s="1233">
        <f>$F$56</f>
        <v>0</v>
      </c>
      <c r="BH465" s="1233">
        <f>$F$56</f>
        <v>0</v>
      </c>
      <c r="BI465" s="1233">
        <f>$F$56</f>
        <v>0</v>
      </c>
      <c r="BJ465" s="1233">
        <f>$F$56</f>
        <v>0</v>
      </c>
      <c r="BK465" s="1233">
        <f>$F$56</f>
        <v>0</v>
      </c>
      <c r="BL465" s="1233">
        <f>$F$56</f>
        <v>0</v>
      </c>
      <c r="BM465" s="1184"/>
      <c r="BN465" s="1184"/>
      <c r="BO465" s="1184"/>
      <c r="BP465" s="1184"/>
      <c r="BQ465" s="1184"/>
      <c r="BR465" s="1184"/>
      <c r="BS465" s="1184"/>
      <c r="BT465" s="1184"/>
      <c r="BU465" s="1184"/>
      <c r="BV465" s="1184"/>
      <c r="BW465" s="1184"/>
      <c r="BX465" s="1184"/>
      <c r="BY465" s="1184"/>
      <c r="BZ465" s="208"/>
      <c r="CA465" s="208"/>
      <c r="CB465" s="208"/>
      <c r="CC465" s="208"/>
      <c r="CD465" s="211"/>
    </row>
    <row r="466" ht="18" customHeight="1">
      <c r="A466" s="207"/>
      <c r="B466" s="208"/>
      <c r="C466" s="208"/>
      <c r="D466" s="208"/>
      <c r="E466" s="208"/>
      <c r="F466" s="1185"/>
      <c r="G466" s="208"/>
      <c r="H466" s="208"/>
      <c r="I466" s="208"/>
      <c r="J466" s="208"/>
      <c r="K466" s="208"/>
      <c r="L466" s="208"/>
      <c r="M466" s="208"/>
      <c r="N466" s="208"/>
      <c r="O466" s="208"/>
      <c r="P466" s="208"/>
      <c r="Q466" s="208"/>
      <c r="R466" s="208"/>
      <c r="S466" s="208"/>
      <c r="T466" s="208"/>
      <c r="U466" s="208"/>
      <c r="V466" s="208"/>
      <c r="W466" s="208"/>
      <c r="X466" s="208"/>
      <c r="Y466" s="208"/>
      <c r="Z466" s="208"/>
      <c r="AA466" s="208"/>
      <c r="AB466" s="208"/>
      <c r="AC466" s="208"/>
      <c r="AD466" s="208"/>
      <c r="AE466" s="208"/>
      <c r="AF466" s="208"/>
      <c r="AG466" s="208"/>
      <c r="AH466" s="208"/>
      <c r="AI466" s="208"/>
      <c r="AJ466" s="208"/>
      <c r="AK466" s="208"/>
      <c r="AL466" s="208"/>
      <c r="AM466" s="208"/>
      <c r="AN466" s="208"/>
      <c r="AO466" s="208"/>
      <c r="AP466" s="208"/>
      <c r="AQ466" s="208"/>
      <c r="AR466" s="208"/>
      <c r="AS466" s="1184"/>
      <c r="AT466" s="1184"/>
      <c r="AU466" s="1184"/>
      <c r="AV466" s="1184"/>
      <c r="AW466" s="1184"/>
      <c r="AX466" s="1184"/>
      <c r="AY466" s="1184"/>
      <c r="AZ466" s="1184"/>
      <c r="BA466" s="1184"/>
      <c r="BB466" s="1184"/>
      <c r="BC466" s="1184"/>
      <c r="BD466" s="1184"/>
      <c r="BE466" s="1184"/>
      <c r="BF466" s="1233">
        <f>$F$56</f>
        <v>0</v>
      </c>
      <c r="BG466" s="1233">
        <f>$F$56</f>
        <v>0</v>
      </c>
      <c r="BH466" s="1233">
        <f>$F$56</f>
        <v>0</v>
      </c>
      <c r="BI466" s="1233">
        <f>$F$56</f>
        <v>0</v>
      </c>
      <c r="BJ466" s="1233">
        <f>$F$56</f>
        <v>0</v>
      </c>
      <c r="BK466" s="1233">
        <f>$F$56</f>
        <v>0</v>
      </c>
      <c r="BL466" s="1233">
        <f>$F$56</f>
        <v>0</v>
      </c>
      <c r="BM466" s="1184"/>
      <c r="BN466" s="1184"/>
      <c r="BO466" s="1184"/>
      <c r="BP466" s="1184"/>
      <c r="BQ466" s="1184"/>
      <c r="BR466" s="1184"/>
      <c r="BS466" s="1184"/>
      <c r="BT466" s="1184"/>
      <c r="BU466" s="1184"/>
      <c r="BV466" s="1184"/>
      <c r="BW466" s="1184"/>
      <c r="BX466" s="1184"/>
      <c r="BY466" s="1184"/>
      <c r="BZ466" s="208"/>
      <c r="CA466" s="208"/>
      <c r="CB466" s="208"/>
      <c r="CC466" s="208"/>
      <c r="CD466" s="211"/>
    </row>
    <row r="467" ht="18" customHeight="1">
      <c r="A467" s="207"/>
      <c r="B467" s="208"/>
      <c r="C467" s="208"/>
      <c r="D467" s="208"/>
      <c r="E467" s="208"/>
      <c r="F467" s="1185"/>
      <c r="G467" s="208"/>
      <c r="H467" s="208"/>
      <c r="I467" s="208"/>
      <c r="J467" s="208"/>
      <c r="K467" s="208"/>
      <c r="L467" s="208"/>
      <c r="M467" s="208"/>
      <c r="N467" s="208"/>
      <c r="O467" s="208"/>
      <c r="P467" s="208"/>
      <c r="Q467" s="208"/>
      <c r="R467" s="208"/>
      <c r="S467" s="208"/>
      <c r="T467" s="208"/>
      <c r="U467" s="208"/>
      <c r="V467" s="208"/>
      <c r="W467" s="208"/>
      <c r="X467" s="208"/>
      <c r="Y467" s="208"/>
      <c r="Z467" s="208"/>
      <c r="AA467" s="208"/>
      <c r="AB467" s="208"/>
      <c r="AC467" s="208"/>
      <c r="AD467" s="208"/>
      <c r="AE467" s="208"/>
      <c r="AF467" s="208"/>
      <c r="AG467" s="208"/>
      <c r="AH467" s="208"/>
      <c r="AI467" s="208"/>
      <c r="AJ467" s="208"/>
      <c r="AK467" s="208"/>
      <c r="AL467" s="208"/>
      <c r="AM467" s="208"/>
      <c r="AN467" s="208"/>
      <c r="AO467" s="208"/>
      <c r="AP467" s="208"/>
      <c r="AQ467" s="208"/>
      <c r="AR467" s="208"/>
      <c r="AS467" s="1184"/>
      <c r="AT467" s="1184"/>
      <c r="AU467" s="1184"/>
      <c r="AV467" s="1184"/>
      <c r="AW467" s="1184"/>
      <c r="AX467" s="1184"/>
      <c r="AY467" s="1184"/>
      <c r="AZ467" s="1184"/>
      <c r="BA467" s="1184"/>
      <c r="BB467" s="1184"/>
      <c r="BC467" s="1184"/>
      <c r="BD467" s="1184"/>
      <c r="BE467" s="1184"/>
      <c r="BF467" s="1184"/>
      <c r="BG467" s="1233">
        <f>$F$56</f>
        <v>0</v>
      </c>
      <c r="BH467" s="1233">
        <f>$F$56</f>
        <v>0</v>
      </c>
      <c r="BI467" s="1233">
        <f>$F$56</f>
        <v>0</v>
      </c>
      <c r="BJ467" s="1233">
        <f>$F$56</f>
        <v>0</v>
      </c>
      <c r="BK467" s="1233">
        <f>$F$56</f>
        <v>0</v>
      </c>
      <c r="BL467" s="1233">
        <f>$F$56</f>
        <v>0</v>
      </c>
      <c r="BM467" s="1184"/>
      <c r="BN467" s="1184"/>
      <c r="BO467" s="1184"/>
      <c r="BP467" s="1184"/>
      <c r="BQ467" s="1184"/>
      <c r="BR467" s="1184"/>
      <c r="BS467" s="1184"/>
      <c r="BT467" s="1184"/>
      <c r="BU467" s="1184"/>
      <c r="BV467" s="1184"/>
      <c r="BW467" s="1184"/>
      <c r="BX467" s="1184"/>
      <c r="BY467" s="1184"/>
      <c r="BZ467" s="208"/>
      <c r="CA467" s="208"/>
      <c r="CB467" s="208"/>
      <c r="CC467" s="208"/>
      <c r="CD467" s="211"/>
    </row>
    <row r="468" ht="18" customHeight="1">
      <c r="A468" s="207"/>
      <c r="B468" s="208"/>
      <c r="C468" s="208"/>
      <c r="D468" s="208"/>
      <c r="E468" s="208"/>
      <c r="F468" s="1185"/>
      <c r="G468" s="208"/>
      <c r="H468" s="208"/>
      <c r="I468" s="208"/>
      <c r="J468" s="208"/>
      <c r="K468" s="208"/>
      <c r="L468" s="208"/>
      <c r="M468" s="208"/>
      <c r="N468" s="208"/>
      <c r="O468" s="208"/>
      <c r="P468" s="208"/>
      <c r="Q468" s="208"/>
      <c r="R468" s="208"/>
      <c r="S468" s="208"/>
      <c r="T468" s="208"/>
      <c r="U468" s="208"/>
      <c r="V468" s="208"/>
      <c r="W468" s="208"/>
      <c r="X468" s="208"/>
      <c r="Y468" s="208"/>
      <c r="Z468" s="208"/>
      <c r="AA468" s="208"/>
      <c r="AB468" s="208"/>
      <c r="AC468" s="208"/>
      <c r="AD468" s="208"/>
      <c r="AE468" s="208"/>
      <c r="AF468" s="208"/>
      <c r="AG468" s="208"/>
      <c r="AH468" s="208"/>
      <c r="AI468" s="208"/>
      <c r="AJ468" s="208"/>
      <c r="AK468" s="208"/>
      <c r="AL468" s="208"/>
      <c r="AM468" s="208"/>
      <c r="AN468" s="208"/>
      <c r="AO468" s="208"/>
      <c r="AP468" s="208"/>
      <c r="AQ468" s="208"/>
      <c r="AR468" s="208"/>
      <c r="AS468" s="1184"/>
      <c r="AT468" s="1184"/>
      <c r="AU468" s="1184"/>
      <c r="AV468" s="1184"/>
      <c r="AW468" s="1184"/>
      <c r="AX468" s="1184"/>
      <c r="AY468" s="1184"/>
      <c r="AZ468" s="1184"/>
      <c r="BA468" s="1184"/>
      <c r="BB468" s="1184"/>
      <c r="BC468" s="1184"/>
      <c r="BD468" s="1184"/>
      <c r="BE468" s="1184"/>
      <c r="BF468" s="1184"/>
      <c r="BG468" s="1184"/>
      <c r="BH468" s="1233">
        <f>$F$56</f>
        <v>0</v>
      </c>
      <c r="BI468" s="1233">
        <f>$F$56</f>
        <v>0</v>
      </c>
      <c r="BJ468" s="1233">
        <f>$F$56</f>
        <v>0</v>
      </c>
      <c r="BK468" s="1233">
        <f>$F$56</f>
        <v>0</v>
      </c>
      <c r="BL468" s="1233">
        <f>$F$56</f>
        <v>0</v>
      </c>
      <c r="BM468" s="1184"/>
      <c r="BN468" s="1184"/>
      <c r="BO468" s="1184"/>
      <c r="BP468" s="1184"/>
      <c r="BQ468" s="1184"/>
      <c r="BR468" s="1184"/>
      <c r="BS468" s="1184"/>
      <c r="BT468" s="1184"/>
      <c r="BU468" s="1184"/>
      <c r="BV468" s="1184"/>
      <c r="BW468" s="1184"/>
      <c r="BX468" s="1184"/>
      <c r="BY468" s="1184"/>
      <c r="BZ468" s="208"/>
      <c r="CA468" s="208"/>
      <c r="CB468" s="208"/>
      <c r="CC468" s="208"/>
      <c r="CD468" s="211"/>
    </row>
    <row r="469" ht="18" customHeight="1">
      <c r="A469" s="207"/>
      <c r="B469" s="208"/>
      <c r="C469" s="208"/>
      <c r="D469" s="208"/>
      <c r="E469" s="208"/>
      <c r="F469" s="1185"/>
      <c r="G469" s="208"/>
      <c r="H469" s="208"/>
      <c r="I469" s="208"/>
      <c r="J469" s="208"/>
      <c r="K469" s="208"/>
      <c r="L469" s="208"/>
      <c r="M469" s="208"/>
      <c r="N469" s="208"/>
      <c r="O469" s="208"/>
      <c r="P469" s="208"/>
      <c r="Q469" s="208"/>
      <c r="R469" s="208"/>
      <c r="S469" s="208"/>
      <c r="T469" s="208"/>
      <c r="U469" s="208"/>
      <c r="V469" s="208"/>
      <c r="W469" s="208"/>
      <c r="X469" s="208"/>
      <c r="Y469" s="208"/>
      <c r="Z469" s="208"/>
      <c r="AA469" s="208"/>
      <c r="AB469" s="208"/>
      <c r="AC469" s="208"/>
      <c r="AD469" s="208"/>
      <c r="AE469" s="208"/>
      <c r="AF469" s="208"/>
      <c r="AG469" s="208"/>
      <c r="AH469" s="208"/>
      <c r="AI469" s="208"/>
      <c r="AJ469" s="208"/>
      <c r="AK469" s="208"/>
      <c r="AL469" s="208"/>
      <c r="AM469" s="208"/>
      <c r="AN469" s="208"/>
      <c r="AO469" s="208"/>
      <c r="AP469" s="208"/>
      <c r="AQ469" s="208"/>
      <c r="AR469" s="208"/>
      <c r="AS469" s="1184"/>
      <c r="AT469" s="1184"/>
      <c r="AU469" s="1184"/>
      <c r="AV469" s="1184"/>
      <c r="AW469" s="1184"/>
      <c r="AX469" s="1184"/>
      <c r="AY469" s="1184"/>
      <c r="AZ469" s="1184"/>
      <c r="BA469" s="1184"/>
      <c r="BB469" s="1184"/>
      <c r="BC469" s="1184"/>
      <c r="BD469" s="1184"/>
      <c r="BE469" s="1184"/>
      <c r="BF469" s="1184"/>
      <c r="BG469" s="1184"/>
      <c r="BH469" s="1184"/>
      <c r="BI469" s="1233">
        <f>$F$56</f>
        <v>0</v>
      </c>
      <c r="BJ469" s="1233">
        <f>$F$56</f>
        <v>0</v>
      </c>
      <c r="BK469" s="1233">
        <f>$F$56</f>
        <v>0</v>
      </c>
      <c r="BL469" s="1233">
        <f>$F$56</f>
        <v>0</v>
      </c>
      <c r="BM469" s="1184"/>
      <c r="BN469" s="1184"/>
      <c r="BO469" s="1184"/>
      <c r="BP469" s="1184"/>
      <c r="BQ469" s="1184"/>
      <c r="BR469" s="1184"/>
      <c r="BS469" s="1184"/>
      <c r="BT469" s="1184"/>
      <c r="BU469" s="1184"/>
      <c r="BV469" s="1184"/>
      <c r="BW469" s="1184"/>
      <c r="BX469" s="1184"/>
      <c r="BY469" s="1184"/>
      <c r="BZ469" s="208"/>
      <c r="CA469" s="208"/>
      <c r="CB469" s="208"/>
      <c r="CC469" s="208"/>
      <c r="CD469" s="211"/>
    </row>
    <row r="470" ht="18" customHeight="1">
      <c r="A470" s="207"/>
      <c r="B470" s="208"/>
      <c r="C470" s="208"/>
      <c r="D470" s="208"/>
      <c r="E470" s="208"/>
      <c r="F470" s="1185"/>
      <c r="G470" s="208"/>
      <c r="H470" s="208"/>
      <c r="I470" s="208"/>
      <c r="J470" s="208"/>
      <c r="K470" s="208"/>
      <c r="L470" s="208"/>
      <c r="M470" s="208"/>
      <c r="N470" s="208"/>
      <c r="O470" s="208"/>
      <c r="P470" s="208"/>
      <c r="Q470" s="208"/>
      <c r="R470" s="208"/>
      <c r="S470" s="208"/>
      <c r="T470" s="208"/>
      <c r="U470" s="208"/>
      <c r="V470" s="208"/>
      <c r="W470" s="208"/>
      <c r="X470" s="208"/>
      <c r="Y470" s="208"/>
      <c r="Z470" s="208"/>
      <c r="AA470" s="208"/>
      <c r="AB470" s="208"/>
      <c r="AC470" s="208"/>
      <c r="AD470" s="208"/>
      <c r="AE470" s="208"/>
      <c r="AF470" s="208"/>
      <c r="AG470" s="208"/>
      <c r="AH470" s="208"/>
      <c r="AI470" s="208"/>
      <c r="AJ470" s="208"/>
      <c r="AK470" s="208"/>
      <c r="AL470" s="208"/>
      <c r="AM470" s="208"/>
      <c r="AN470" s="208"/>
      <c r="AO470" s="208"/>
      <c r="AP470" s="208"/>
      <c r="AQ470" s="208"/>
      <c r="AR470" s="208"/>
      <c r="AS470" s="1184"/>
      <c r="AT470" s="1184"/>
      <c r="AU470" s="1184"/>
      <c r="AV470" s="1184"/>
      <c r="AW470" s="1184"/>
      <c r="AX470" s="1184"/>
      <c r="AY470" s="1184"/>
      <c r="AZ470" s="1184"/>
      <c r="BA470" s="1184"/>
      <c r="BB470" s="1184"/>
      <c r="BC470" s="1184"/>
      <c r="BD470" s="1184"/>
      <c r="BE470" s="1184"/>
      <c r="BF470" s="1184"/>
      <c r="BG470" s="1184"/>
      <c r="BH470" s="1184"/>
      <c r="BI470" s="1184"/>
      <c r="BJ470" s="1233">
        <f>$F$56</f>
        <v>0</v>
      </c>
      <c r="BK470" s="1233">
        <f>$F$56</f>
        <v>0</v>
      </c>
      <c r="BL470" s="1233">
        <f>$F$56</f>
        <v>0</v>
      </c>
      <c r="BM470" s="1184"/>
      <c r="BN470" s="1184"/>
      <c r="BO470" s="1184"/>
      <c r="BP470" s="1184"/>
      <c r="BQ470" s="1184"/>
      <c r="BR470" s="1184"/>
      <c r="BS470" s="1184"/>
      <c r="BT470" s="1184"/>
      <c r="BU470" s="1184"/>
      <c r="BV470" s="1184"/>
      <c r="BW470" s="1184"/>
      <c r="BX470" s="1184"/>
      <c r="BY470" s="1184"/>
      <c r="BZ470" s="208"/>
      <c r="CA470" s="208"/>
      <c r="CB470" s="208"/>
      <c r="CC470" s="208"/>
      <c r="CD470" s="211"/>
    </row>
    <row r="471" ht="18" customHeight="1">
      <c r="A471" s="207"/>
      <c r="B471" s="208"/>
      <c r="C471" s="208"/>
      <c r="D471" s="208"/>
      <c r="E471" s="208"/>
      <c r="F471" s="1185"/>
      <c r="G471" s="208"/>
      <c r="H471" s="208"/>
      <c r="I471" s="208"/>
      <c r="J471" s="208"/>
      <c r="K471" s="208"/>
      <c r="L471" s="208"/>
      <c r="M471" s="208"/>
      <c r="N471" s="208"/>
      <c r="O471" s="208"/>
      <c r="P471" s="208"/>
      <c r="Q471" s="208"/>
      <c r="R471" s="208"/>
      <c r="S471" s="208"/>
      <c r="T471" s="208"/>
      <c r="U471" s="208"/>
      <c r="V471" s="208"/>
      <c r="W471" s="208"/>
      <c r="X471" s="208"/>
      <c r="Y471" s="208"/>
      <c r="Z471" s="208"/>
      <c r="AA471" s="208"/>
      <c r="AB471" s="208"/>
      <c r="AC471" s="208"/>
      <c r="AD471" s="208"/>
      <c r="AE471" s="208"/>
      <c r="AF471" s="208"/>
      <c r="AG471" s="208"/>
      <c r="AH471" s="208"/>
      <c r="AI471" s="208"/>
      <c r="AJ471" s="208"/>
      <c r="AK471" s="208"/>
      <c r="AL471" s="208"/>
      <c r="AM471" s="208"/>
      <c r="AN471" s="208"/>
      <c r="AO471" s="208"/>
      <c r="AP471" s="208"/>
      <c r="AQ471" s="208"/>
      <c r="AR471" s="208"/>
      <c r="AS471" s="1184"/>
      <c r="AT471" s="1184"/>
      <c r="AU471" s="1184"/>
      <c r="AV471" s="1184"/>
      <c r="AW471" s="1184"/>
      <c r="AX471" s="1184"/>
      <c r="AY471" s="1184"/>
      <c r="AZ471" s="1184"/>
      <c r="BA471" s="1184"/>
      <c r="BB471" s="1184"/>
      <c r="BC471" s="1184"/>
      <c r="BD471" s="1184"/>
      <c r="BE471" s="1184"/>
      <c r="BF471" s="1184"/>
      <c r="BG471" s="1184"/>
      <c r="BH471" s="1184"/>
      <c r="BI471" s="1184"/>
      <c r="BJ471" s="1184"/>
      <c r="BK471" s="1233">
        <f>$F$56</f>
        <v>0</v>
      </c>
      <c r="BL471" s="1233">
        <f>$F$56</f>
        <v>0</v>
      </c>
      <c r="BM471" s="1184"/>
      <c r="BN471" s="1184"/>
      <c r="BO471" s="1184"/>
      <c r="BP471" s="1184"/>
      <c r="BQ471" s="1184"/>
      <c r="BR471" s="1184"/>
      <c r="BS471" s="1184"/>
      <c r="BT471" s="1184"/>
      <c r="BU471" s="1184"/>
      <c r="BV471" s="1184"/>
      <c r="BW471" s="1184"/>
      <c r="BX471" s="1184"/>
      <c r="BY471" s="1184"/>
      <c r="BZ471" s="208"/>
      <c r="CA471" s="208"/>
      <c r="CB471" s="208"/>
      <c r="CC471" s="208"/>
      <c r="CD471" s="211"/>
    </row>
    <row r="472" ht="18" customHeight="1">
      <c r="A472" s="207"/>
      <c r="B472" s="208"/>
      <c r="C472" s="208"/>
      <c r="D472" s="208"/>
      <c r="E472" s="208"/>
      <c r="F472" s="1185"/>
      <c r="G472" s="208"/>
      <c r="H472" s="208"/>
      <c r="I472" s="208"/>
      <c r="J472" s="208"/>
      <c r="K472" s="208"/>
      <c r="L472" s="208"/>
      <c r="M472" s="208"/>
      <c r="N472" s="208"/>
      <c r="O472" s="208"/>
      <c r="P472" s="208"/>
      <c r="Q472" s="208"/>
      <c r="R472" s="208"/>
      <c r="S472" s="208"/>
      <c r="T472" s="208"/>
      <c r="U472" s="208"/>
      <c r="V472" s="208"/>
      <c r="W472" s="208"/>
      <c r="X472" s="208"/>
      <c r="Y472" s="208"/>
      <c r="Z472" s="208"/>
      <c r="AA472" s="208"/>
      <c r="AB472" s="208"/>
      <c r="AC472" s="208"/>
      <c r="AD472" s="208"/>
      <c r="AE472" s="208"/>
      <c r="AF472" s="208"/>
      <c r="AG472" s="208"/>
      <c r="AH472" s="208"/>
      <c r="AI472" s="208"/>
      <c r="AJ472" s="208"/>
      <c r="AK472" s="208"/>
      <c r="AL472" s="208"/>
      <c r="AM472" s="208"/>
      <c r="AN472" s="208"/>
      <c r="AO472" s="208"/>
      <c r="AP472" s="208"/>
      <c r="AQ472" s="208"/>
      <c r="AR472" s="208"/>
      <c r="AS472" s="1184"/>
      <c r="AT472" s="1184"/>
      <c r="AU472" s="1184"/>
      <c r="AV472" s="1184"/>
      <c r="AW472" s="1184"/>
      <c r="AX472" s="1184"/>
      <c r="AY472" s="1184"/>
      <c r="AZ472" s="1184"/>
      <c r="BA472" s="1184"/>
      <c r="BB472" s="1184"/>
      <c r="BC472" s="1184"/>
      <c r="BD472" s="1184"/>
      <c r="BE472" s="1184"/>
      <c r="BF472" s="1184"/>
      <c r="BG472" s="1184"/>
      <c r="BH472" s="1184"/>
      <c r="BI472" s="1184"/>
      <c r="BJ472" s="1184"/>
      <c r="BK472" s="1184"/>
      <c r="BL472" s="1233">
        <f>$F$56</f>
        <v>0</v>
      </c>
      <c r="BM472" s="1184"/>
      <c r="BN472" s="1184"/>
      <c r="BO472" s="1184"/>
      <c r="BP472" s="1184"/>
      <c r="BQ472" s="1184"/>
      <c r="BR472" s="1184"/>
      <c r="BS472" s="1184"/>
      <c r="BT472" s="1184"/>
      <c r="BU472" s="1184"/>
      <c r="BV472" s="1184"/>
      <c r="BW472" s="1184"/>
      <c r="BX472" s="1184"/>
      <c r="BY472" s="1184"/>
      <c r="BZ472" s="208"/>
      <c r="CA472" s="208"/>
      <c r="CB472" s="208"/>
      <c r="CC472" s="208"/>
      <c r="CD472" s="211"/>
    </row>
    <row r="473" ht="18" customHeight="1">
      <c r="A473" s="207"/>
      <c r="B473" s="208"/>
      <c r="C473" s="208"/>
      <c r="D473" s="208"/>
      <c r="E473" s="208"/>
      <c r="F473" s="208"/>
      <c r="G473" s="1194"/>
      <c r="H473" s="208"/>
      <c r="I473" s="208"/>
      <c r="J473" s="208"/>
      <c r="K473" s="208"/>
      <c r="L473" s="208"/>
      <c r="M473" s="208"/>
      <c r="N473" s="208"/>
      <c r="O473" s="208"/>
      <c r="P473" s="208"/>
      <c r="Q473" s="208"/>
      <c r="R473" s="208"/>
      <c r="S473" s="208"/>
      <c r="T473" s="208"/>
      <c r="U473" s="208"/>
      <c r="V473" s="208"/>
      <c r="W473" s="208"/>
      <c r="X473" s="208"/>
      <c r="Y473" s="208"/>
      <c r="Z473" s="208"/>
      <c r="AA473" s="208"/>
      <c r="AB473" s="208"/>
      <c r="AC473" s="208"/>
      <c r="AD473" s="208"/>
      <c r="AE473" s="208"/>
      <c r="AF473" s="208"/>
      <c r="AG473" s="208"/>
      <c r="AH473" s="208"/>
      <c r="AI473" s="208"/>
      <c r="AJ473" s="208"/>
      <c r="AK473" s="208"/>
      <c r="AL473" s="208"/>
      <c r="AM473" s="208"/>
      <c r="AN473" s="208"/>
      <c r="AO473" s="208"/>
      <c r="AP473" s="208"/>
      <c r="AQ473" s="208"/>
      <c r="AR473" s="208"/>
      <c r="AS473" s="208"/>
      <c r="AT473" s="208"/>
      <c r="AU473" s="208"/>
      <c r="AV473" s="208"/>
      <c r="AW473" s="208"/>
      <c r="AX473" s="208"/>
      <c r="AY473" s="208"/>
      <c r="AZ473" s="208"/>
      <c r="BA473" s="208"/>
      <c r="BB473" s="208"/>
      <c r="BC473" s="208"/>
      <c r="BD473" s="208"/>
      <c r="BE473" s="208"/>
      <c r="BF473" s="208"/>
      <c r="BG473" s="1184"/>
      <c r="BH473" s="1184"/>
      <c r="BI473" s="1184"/>
      <c r="BJ473" s="1184"/>
      <c r="BK473" s="1184"/>
      <c r="BL473" s="1184"/>
      <c r="BM473" s="1184"/>
      <c r="BN473" s="1184"/>
      <c r="BO473" s="1184"/>
      <c r="BP473" s="1184"/>
      <c r="BQ473" s="1184"/>
      <c r="BR473" s="1184"/>
      <c r="BS473" s="1184"/>
      <c r="BT473" s="1184"/>
      <c r="BU473" s="1184"/>
      <c r="BV473" s="1184"/>
      <c r="BW473" s="1184"/>
      <c r="BX473" s="1184"/>
      <c r="BY473" s="1184"/>
      <c r="BZ473" s="208"/>
      <c r="CA473" s="208"/>
      <c r="CB473" s="208"/>
      <c r="CC473" s="208"/>
      <c r="CD473" s="211"/>
    </row>
    <row r="474" ht="18" customHeight="1">
      <c r="A474" s="207"/>
      <c r="B474" s="208"/>
      <c r="C474" s="208"/>
      <c r="D474" s="208"/>
      <c r="E474" s="208"/>
      <c r="F474" s="208"/>
      <c r="G474" s="1194"/>
      <c r="H474" s="208"/>
      <c r="I474" s="208"/>
      <c r="J474" s="208"/>
      <c r="K474" s="208"/>
      <c r="L474" s="208"/>
      <c r="M474" s="208"/>
      <c r="N474" s="208"/>
      <c r="O474" s="208"/>
      <c r="P474" s="208"/>
      <c r="Q474" s="208"/>
      <c r="R474" s="208"/>
      <c r="S474" s="208"/>
      <c r="T474" s="208"/>
      <c r="U474" s="208"/>
      <c r="V474" s="208"/>
      <c r="W474" s="208"/>
      <c r="X474" s="208"/>
      <c r="Y474" s="208"/>
      <c r="Z474" s="208"/>
      <c r="AA474" s="208"/>
      <c r="AB474" s="208"/>
      <c r="AC474" s="208"/>
      <c r="AD474" s="208"/>
      <c r="AE474" s="208"/>
      <c r="AF474" s="208"/>
      <c r="AG474" s="208"/>
      <c r="AH474" s="208"/>
      <c r="AI474" s="208"/>
      <c r="AJ474" s="208"/>
      <c r="AK474" s="208"/>
      <c r="AL474" s="208"/>
      <c r="AM474" s="208"/>
      <c r="AN474" s="208"/>
      <c r="AO474" s="208"/>
      <c r="AP474" s="208"/>
      <c r="AQ474" s="208"/>
      <c r="AR474" s="208"/>
      <c r="AS474" s="208"/>
      <c r="AT474" s="208"/>
      <c r="AU474" s="208"/>
      <c r="AV474" s="208"/>
      <c r="AW474" s="208"/>
      <c r="AX474" s="208"/>
      <c r="AY474" s="208"/>
      <c r="AZ474" s="208"/>
      <c r="BA474" s="208"/>
      <c r="BB474" s="208"/>
      <c r="BC474" s="208"/>
      <c r="BD474" s="208"/>
      <c r="BE474" s="208"/>
      <c r="BF474" s="208"/>
      <c r="BG474" s="1184"/>
      <c r="BH474" s="1184"/>
      <c r="BI474" s="1184"/>
      <c r="BJ474" s="1184"/>
      <c r="BK474" s="1184"/>
      <c r="BL474" s="1184"/>
      <c r="BM474" s="1184"/>
      <c r="BN474" s="1184"/>
      <c r="BO474" s="1184"/>
      <c r="BP474" s="1184"/>
      <c r="BQ474" s="1184"/>
      <c r="BR474" s="1184"/>
      <c r="BS474" s="1184"/>
      <c r="BT474" s="1184"/>
      <c r="BU474" s="1184"/>
      <c r="BV474" s="1184"/>
      <c r="BW474" s="1184"/>
      <c r="BX474" s="1184"/>
      <c r="BY474" s="1184"/>
      <c r="BZ474" s="208"/>
      <c r="CA474" s="208"/>
      <c r="CB474" s="208"/>
      <c r="CC474" s="208"/>
      <c r="CD474" s="211"/>
    </row>
    <row r="475" ht="18" customHeight="1">
      <c r="A475" s="207"/>
      <c r="B475" s="208"/>
      <c r="C475" s="208"/>
      <c r="D475" s="208"/>
      <c r="E475" s="208"/>
      <c r="F475" s="208"/>
      <c r="G475" s="1194"/>
      <c r="H475" s="208"/>
      <c r="I475" s="208"/>
      <c r="J475" s="208"/>
      <c r="K475" s="208"/>
      <c r="L475" s="208"/>
      <c r="M475" s="208"/>
      <c r="N475" s="208"/>
      <c r="O475" s="208"/>
      <c r="P475" s="208"/>
      <c r="Q475" s="208"/>
      <c r="R475" s="208"/>
      <c r="S475" s="208"/>
      <c r="T475" s="208"/>
      <c r="U475" s="208"/>
      <c r="V475" s="208"/>
      <c r="W475" s="208"/>
      <c r="X475" s="208"/>
      <c r="Y475" s="208"/>
      <c r="Z475" s="208"/>
      <c r="AA475" s="208"/>
      <c r="AB475" s="208"/>
      <c r="AC475" s="208"/>
      <c r="AD475" s="208"/>
      <c r="AE475" s="208"/>
      <c r="AF475" s="208"/>
      <c r="AG475" s="208"/>
      <c r="AH475" s="208"/>
      <c r="AI475" s="208"/>
      <c r="AJ475" s="208"/>
      <c r="AK475" s="208"/>
      <c r="AL475" s="208"/>
      <c r="AM475" s="208"/>
      <c r="AN475" s="208"/>
      <c r="AO475" s="208"/>
      <c r="AP475" s="208"/>
      <c r="AQ475" s="208"/>
      <c r="AR475" s="208"/>
      <c r="AS475" s="208"/>
      <c r="AT475" s="208"/>
      <c r="AU475" s="208"/>
      <c r="AV475" s="208"/>
      <c r="AW475" s="208"/>
      <c r="AX475" s="208"/>
      <c r="AY475" s="208"/>
      <c r="AZ475" s="208"/>
      <c r="BA475" s="208"/>
      <c r="BB475" s="208"/>
      <c r="BC475" s="208"/>
      <c r="BD475" s="208"/>
      <c r="BE475" s="208"/>
      <c r="BF475" s="208"/>
      <c r="BG475" s="1184"/>
      <c r="BH475" s="1184"/>
      <c r="BI475" s="1184"/>
      <c r="BJ475" s="1184"/>
      <c r="BK475" s="1184"/>
      <c r="BL475" s="1184"/>
      <c r="BM475" s="1184"/>
      <c r="BN475" s="1184"/>
      <c r="BO475" s="1184"/>
      <c r="BP475" s="1184"/>
      <c r="BQ475" s="1184"/>
      <c r="BR475" s="1184"/>
      <c r="BS475" s="1184"/>
      <c r="BT475" s="1184"/>
      <c r="BU475" s="1184"/>
      <c r="BV475" s="1184"/>
      <c r="BW475" s="1184"/>
      <c r="BX475" s="1184"/>
      <c r="BY475" s="1184"/>
      <c r="BZ475" s="208"/>
      <c r="CA475" s="208"/>
      <c r="CB475" s="208"/>
      <c r="CC475" s="208"/>
      <c r="CD475" s="211"/>
    </row>
    <row r="476" ht="18" customHeight="1">
      <c r="A476" s="207"/>
      <c r="B476" s="208"/>
      <c r="C476" s="208"/>
      <c r="D476" s="208"/>
      <c r="E476" s="208"/>
      <c r="F476" s="208"/>
      <c r="G476" s="1194"/>
      <c r="H476" s="208"/>
      <c r="I476" s="208"/>
      <c r="J476" s="208"/>
      <c r="K476" s="208"/>
      <c r="L476" s="208"/>
      <c r="M476" s="208"/>
      <c r="N476" s="208"/>
      <c r="O476" s="208"/>
      <c r="P476" s="208"/>
      <c r="Q476" s="208"/>
      <c r="R476" s="208"/>
      <c r="S476" s="208"/>
      <c r="T476" s="208"/>
      <c r="U476" s="208"/>
      <c r="V476" s="208"/>
      <c r="W476" s="208"/>
      <c r="X476" s="208"/>
      <c r="Y476" s="208"/>
      <c r="Z476" s="208"/>
      <c r="AA476" s="208"/>
      <c r="AB476" s="208"/>
      <c r="AC476" s="208"/>
      <c r="AD476" s="208"/>
      <c r="AE476" s="208"/>
      <c r="AF476" s="208"/>
      <c r="AG476" s="208"/>
      <c r="AH476" s="208"/>
      <c r="AI476" s="208"/>
      <c r="AJ476" s="208"/>
      <c r="AK476" s="208"/>
      <c r="AL476" s="208"/>
      <c r="AM476" s="208"/>
      <c r="AN476" s="208"/>
      <c r="AO476" s="208"/>
      <c r="AP476" s="208"/>
      <c r="AQ476" s="208"/>
      <c r="AR476" s="208"/>
      <c r="AS476" s="208"/>
      <c r="AT476" s="208"/>
      <c r="AU476" s="208"/>
      <c r="AV476" s="208"/>
      <c r="AW476" s="208"/>
      <c r="AX476" s="208"/>
      <c r="AY476" s="208"/>
      <c r="AZ476" s="208"/>
      <c r="BA476" s="208"/>
      <c r="BB476" s="208"/>
      <c r="BC476" s="208"/>
      <c r="BD476" s="208"/>
      <c r="BE476" s="208"/>
      <c r="BF476" s="208"/>
      <c r="BG476" s="1184"/>
      <c r="BH476" s="1184"/>
      <c r="BI476" s="1184"/>
      <c r="BJ476" s="1184"/>
      <c r="BK476" s="1184"/>
      <c r="BL476" s="1184"/>
      <c r="BM476" s="1184"/>
      <c r="BN476" s="1184"/>
      <c r="BO476" s="1184"/>
      <c r="BP476" s="1184"/>
      <c r="BQ476" s="1184"/>
      <c r="BR476" s="1184"/>
      <c r="BS476" s="1184"/>
      <c r="BT476" s="1184"/>
      <c r="BU476" s="1184"/>
      <c r="BV476" s="1184"/>
      <c r="BW476" s="1184"/>
      <c r="BX476" s="1184"/>
      <c r="BY476" s="1184"/>
      <c r="BZ476" s="208"/>
      <c r="CA476" s="208"/>
      <c r="CB476" s="208"/>
      <c r="CC476" s="208"/>
      <c r="CD476" s="211"/>
    </row>
    <row r="477" ht="18" customHeight="1">
      <c r="A477" s="207"/>
      <c r="B477" s="208"/>
      <c r="C477" s="208"/>
      <c r="D477" s="208"/>
      <c r="E477" s="208"/>
      <c r="F477" s="208"/>
      <c r="G477" s="1194"/>
      <c r="H477" s="208"/>
      <c r="I477" s="208"/>
      <c r="J477" s="208"/>
      <c r="K477" s="208"/>
      <c r="L477" s="208"/>
      <c r="M477" s="208"/>
      <c r="N477" s="208"/>
      <c r="O477" s="208"/>
      <c r="P477" s="208"/>
      <c r="Q477" s="208"/>
      <c r="R477" s="208"/>
      <c r="S477" s="208"/>
      <c r="T477" s="208"/>
      <c r="U477" s="208"/>
      <c r="V477" s="208"/>
      <c r="W477" s="208"/>
      <c r="X477" s="208"/>
      <c r="Y477" s="208"/>
      <c r="Z477" s="208"/>
      <c r="AA477" s="208"/>
      <c r="AB477" s="208"/>
      <c r="AC477" s="208"/>
      <c r="AD477" s="208"/>
      <c r="AE477" s="208"/>
      <c r="AF477" s="208"/>
      <c r="AG477" s="208"/>
      <c r="AH477" s="208"/>
      <c r="AI477" s="208"/>
      <c r="AJ477" s="208"/>
      <c r="AK477" s="208"/>
      <c r="AL477" s="208"/>
      <c r="AM477" s="208"/>
      <c r="AN477" s="208"/>
      <c r="AO477" s="208"/>
      <c r="AP477" s="208"/>
      <c r="AQ477" s="208"/>
      <c r="AR477" s="208"/>
      <c r="AS477" s="208"/>
      <c r="AT477" s="208"/>
      <c r="AU477" s="208"/>
      <c r="AV477" s="208"/>
      <c r="AW477" s="208"/>
      <c r="AX477" s="208"/>
      <c r="AY477" s="208"/>
      <c r="AZ477" s="208"/>
      <c r="BA477" s="208"/>
      <c r="BB477" s="208"/>
      <c r="BC477" s="208"/>
      <c r="BD477" s="208"/>
      <c r="BE477" s="208"/>
      <c r="BF477" s="208"/>
      <c r="BG477" s="1184"/>
      <c r="BH477" s="1184"/>
      <c r="BI477" s="1184"/>
      <c r="BJ477" s="1184"/>
      <c r="BK477" s="1184"/>
      <c r="BL477" s="1184"/>
      <c r="BM477" s="1184"/>
      <c r="BN477" s="1184"/>
      <c r="BO477" s="1184"/>
      <c r="BP477" s="1184"/>
      <c r="BQ477" s="1184"/>
      <c r="BR477" s="1184"/>
      <c r="BS477" s="1184"/>
      <c r="BT477" s="1184"/>
      <c r="BU477" s="1184"/>
      <c r="BV477" s="1184"/>
      <c r="BW477" s="1184"/>
      <c r="BX477" s="1184"/>
      <c r="BY477" s="1184"/>
      <c r="BZ477" s="208"/>
      <c r="CA477" s="208"/>
      <c r="CB477" s="208"/>
      <c r="CC477" s="208"/>
      <c r="CD477" s="211"/>
    </row>
    <row r="478" ht="18" customHeight="1">
      <c r="A478" s="207"/>
      <c r="B478" s="208"/>
      <c r="C478" s="208"/>
      <c r="D478" s="208"/>
      <c r="E478" s="208"/>
      <c r="F478" s="208"/>
      <c r="G478" s="1194"/>
      <c r="H478" s="208"/>
      <c r="I478" s="208"/>
      <c r="J478" s="208"/>
      <c r="K478" s="208"/>
      <c r="L478" s="208"/>
      <c r="M478" s="208"/>
      <c r="N478" s="208"/>
      <c r="O478" s="208"/>
      <c r="P478" s="208"/>
      <c r="Q478" s="208"/>
      <c r="R478" s="208"/>
      <c r="S478" s="208"/>
      <c r="T478" s="208"/>
      <c r="U478" s="208"/>
      <c r="V478" s="208"/>
      <c r="W478" s="208"/>
      <c r="X478" s="208"/>
      <c r="Y478" s="208"/>
      <c r="Z478" s="208"/>
      <c r="AA478" s="208"/>
      <c r="AB478" s="208"/>
      <c r="AC478" s="208"/>
      <c r="AD478" s="208"/>
      <c r="AE478" s="208"/>
      <c r="AF478" s="208"/>
      <c r="AG478" s="208"/>
      <c r="AH478" s="208"/>
      <c r="AI478" s="208"/>
      <c r="AJ478" s="208"/>
      <c r="AK478" s="208"/>
      <c r="AL478" s="208"/>
      <c r="AM478" s="208"/>
      <c r="AN478" s="208"/>
      <c r="AO478" s="208"/>
      <c r="AP478" s="208"/>
      <c r="AQ478" s="208"/>
      <c r="AR478" s="208"/>
      <c r="AS478" s="208"/>
      <c r="AT478" s="208"/>
      <c r="AU478" s="208"/>
      <c r="AV478" s="208"/>
      <c r="AW478" s="208"/>
      <c r="AX478" s="208"/>
      <c r="AY478" s="208"/>
      <c r="AZ478" s="208"/>
      <c r="BA478" s="208"/>
      <c r="BB478" s="208"/>
      <c r="BC478" s="208"/>
      <c r="BD478" s="208"/>
      <c r="BE478" s="208"/>
      <c r="BF478" s="208"/>
      <c r="BG478" s="1184"/>
      <c r="BH478" s="1184"/>
      <c r="BI478" s="1184"/>
      <c r="BJ478" s="1184"/>
      <c r="BK478" s="1184"/>
      <c r="BL478" s="1184"/>
      <c r="BM478" s="1184"/>
      <c r="BN478" s="1184"/>
      <c r="BO478" s="1184"/>
      <c r="BP478" s="1184"/>
      <c r="BQ478" s="1184"/>
      <c r="BR478" s="1184"/>
      <c r="BS478" s="1184"/>
      <c r="BT478" s="1184"/>
      <c r="BU478" s="1184"/>
      <c r="BV478" s="1184"/>
      <c r="BW478" s="1184"/>
      <c r="BX478" s="1184"/>
      <c r="BY478" s="1184"/>
      <c r="BZ478" s="208"/>
      <c r="CA478" s="208"/>
      <c r="CB478" s="208"/>
      <c r="CC478" s="208"/>
      <c r="CD478" s="211"/>
    </row>
    <row r="479" ht="18" customHeight="1">
      <c r="A479" s="207"/>
      <c r="B479" s="208"/>
      <c r="C479" s="208"/>
      <c r="D479" s="208"/>
      <c r="E479" s="208"/>
      <c r="F479" s="208"/>
      <c r="G479" s="1194"/>
      <c r="H479" s="208"/>
      <c r="I479" s="208"/>
      <c r="J479" s="208"/>
      <c r="K479" s="208"/>
      <c r="L479" s="208"/>
      <c r="M479" s="208"/>
      <c r="N479" s="208"/>
      <c r="O479" s="208"/>
      <c r="P479" s="208"/>
      <c r="Q479" s="208"/>
      <c r="R479" s="208"/>
      <c r="S479" s="208"/>
      <c r="T479" s="208"/>
      <c r="U479" s="208"/>
      <c r="V479" s="208"/>
      <c r="W479" s="208"/>
      <c r="X479" s="208"/>
      <c r="Y479" s="208"/>
      <c r="Z479" s="208"/>
      <c r="AA479" s="208"/>
      <c r="AB479" s="208"/>
      <c r="AC479" s="208"/>
      <c r="AD479" s="208"/>
      <c r="AE479" s="208"/>
      <c r="AF479" s="208"/>
      <c r="AG479" s="208"/>
      <c r="AH479" s="208"/>
      <c r="AI479" s="208"/>
      <c r="AJ479" s="208"/>
      <c r="AK479" s="208"/>
      <c r="AL479" s="208"/>
      <c r="AM479" s="208"/>
      <c r="AN479" s="208"/>
      <c r="AO479" s="208"/>
      <c r="AP479" s="208"/>
      <c r="AQ479" s="208"/>
      <c r="AR479" s="208"/>
      <c r="AS479" s="208"/>
      <c r="AT479" s="208"/>
      <c r="AU479" s="208"/>
      <c r="AV479" s="208"/>
      <c r="AW479" s="208"/>
      <c r="AX479" s="208"/>
      <c r="AY479" s="208"/>
      <c r="AZ479" s="208"/>
      <c r="BA479" s="208"/>
      <c r="BB479" s="208"/>
      <c r="BC479" s="208"/>
      <c r="BD479" s="208"/>
      <c r="BE479" s="208"/>
      <c r="BF479" s="208"/>
      <c r="BG479" s="1184"/>
      <c r="BH479" s="1184"/>
      <c r="BI479" s="1184"/>
      <c r="BJ479" s="1184"/>
      <c r="BK479" s="1184"/>
      <c r="BL479" s="1184"/>
      <c r="BM479" s="1184"/>
      <c r="BN479" s="1184"/>
      <c r="BO479" s="1184"/>
      <c r="BP479" s="1184"/>
      <c r="BQ479" s="1184"/>
      <c r="BR479" s="1184"/>
      <c r="BS479" s="1184"/>
      <c r="BT479" s="1184"/>
      <c r="BU479" s="1184"/>
      <c r="BV479" s="1184"/>
      <c r="BW479" s="1184"/>
      <c r="BX479" s="1184"/>
      <c r="BY479" s="1184"/>
      <c r="BZ479" s="208"/>
      <c r="CA479" s="208"/>
      <c r="CB479" s="208"/>
      <c r="CC479" s="208"/>
      <c r="CD479" s="211"/>
    </row>
    <row r="480" ht="18" customHeight="1">
      <c r="A480" s="207"/>
      <c r="B480" s="208"/>
      <c r="C480" s="208"/>
      <c r="D480" s="208"/>
      <c r="E480" s="208"/>
      <c r="F480" s="208"/>
      <c r="G480" s="1194"/>
      <c r="H480" s="208"/>
      <c r="I480" s="208"/>
      <c r="J480" s="208"/>
      <c r="K480" s="208"/>
      <c r="L480" s="208"/>
      <c r="M480" s="208"/>
      <c r="N480" s="208"/>
      <c r="O480" s="208"/>
      <c r="P480" s="208"/>
      <c r="Q480" s="208"/>
      <c r="R480" s="208"/>
      <c r="S480" s="208"/>
      <c r="T480" s="208"/>
      <c r="U480" s="208"/>
      <c r="V480" s="208"/>
      <c r="W480" s="208"/>
      <c r="X480" s="208"/>
      <c r="Y480" s="208"/>
      <c r="Z480" s="208"/>
      <c r="AA480" s="208"/>
      <c r="AB480" s="208"/>
      <c r="AC480" s="208"/>
      <c r="AD480" s="208"/>
      <c r="AE480" s="208"/>
      <c r="AF480" s="208"/>
      <c r="AG480" s="208"/>
      <c r="AH480" s="208"/>
      <c r="AI480" s="208"/>
      <c r="AJ480" s="208"/>
      <c r="AK480" s="208"/>
      <c r="AL480" s="208"/>
      <c r="AM480" s="208"/>
      <c r="AN480" s="208"/>
      <c r="AO480" s="208"/>
      <c r="AP480" s="208"/>
      <c r="AQ480" s="208"/>
      <c r="AR480" s="208"/>
      <c r="AS480" s="208"/>
      <c r="AT480" s="208"/>
      <c r="AU480" s="208"/>
      <c r="AV480" s="208"/>
      <c r="AW480" s="208"/>
      <c r="AX480" s="208"/>
      <c r="AY480" s="208"/>
      <c r="AZ480" s="208"/>
      <c r="BA480" s="208"/>
      <c r="BB480" s="208"/>
      <c r="BC480" s="208"/>
      <c r="BD480" s="208"/>
      <c r="BE480" s="208"/>
      <c r="BF480" s="208"/>
      <c r="BG480" s="1184"/>
      <c r="BH480" s="1184"/>
      <c r="BI480" s="1184"/>
      <c r="BJ480" s="1184"/>
      <c r="BK480" s="1184"/>
      <c r="BL480" s="1184"/>
      <c r="BM480" s="1184"/>
      <c r="BN480" s="1184"/>
      <c r="BO480" s="1184"/>
      <c r="BP480" s="1184"/>
      <c r="BQ480" s="1184"/>
      <c r="BR480" s="1184"/>
      <c r="BS480" s="1184"/>
      <c r="BT480" s="1184"/>
      <c r="BU480" s="1184"/>
      <c r="BV480" s="1184"/>
      <c r="BW480" s="1184"/>
      <c r="BX480" s="1184"/>
      <c r="BY480" s="1184"/>
      <c r="BZ480" s="208"/>
      <c r="CA480" s="208"/>
      <c r="CB480" s="208"/>
      <c r="CC480" s="208"/>
      <c r="CD480" s="211"/>
    </row>
    <row r="481" ht="18" customHeight="1">
      <c r="A481" s="207"/>
      <c r="B481" s="208"/>
      <c r="C481" s="208"/>
      <c r="D481" s="208"/>
      <c r="E481" s="208"/>
      <c r="F481" s="208"/>
      <c r="G481" s="1194"/>
      <c r="H481" s="208"/>
      <c r="I481" s="208"/>
      <c r="J481" s="208"/>
      <c r="K481" s="208"/>
      <c r="L481" s="208"/>
      <c r="M481" s="208"/>
      <c r="N481" s="208"/>
      <c r="O481" s="208"/>
      <c r="P481" s="208"/>
      <c r="Q481" s="208"/>
      <c r="R481" s="208"/>
      <c r="S481" s="208"/>
      <c r="T481" s="208"/>
      <c r="U481" s="208"/>
      <c r="V481" s="208"/>
      <c r="W481" s="208"/>
      <c r="X481" s="208"/>
      <c r="Y481" s="208"/>
      <c r="Z481" s="208"/>
      <c r="AA481" s="208"/>
      <c r="AB481" s="208"/>
      <c r="AC481" s="208"/>
      <c r="AD481" s="208"/>
      <c r="AE481" s="208"/>
      <c r="AF481" s="208"/>
      <c r="AG481" s="208"/>
      <c r="AH481" s="208"/>
      <c r="AI481" s="208"/>
      <c r="AJ481" s="208"/>
      <c r="AK481" s="208"/>
      <c r="AL481" s="208"/>
      <c r="AM481" s="208"/>
      <c r="AN481" s="208"/>
      <c r="AO481" s="208"/>
      <c r="AP481" s="208"/>
      <c r="AQ481" s="208"/>
      <c r="AR481" s="208"/>
      <c r="AS481" s="208"/>
      <c r="AT481" s="208"/>
      <c r="AU481" s="208"/>
      <c r="AV481" s="208"/>
      <c r="AW481" s="208"/>
      <c r="AX481" s="208"/>
      <c r="AY481" s="208"/>
      <c r="AZ481" s="208"/>
      <c r="BA481" s="208"/>
      <c r="BB481" s="208"/>
      <c r="BC481" s="208"/>
      <c r="BD481" s="208"/>
      <c r="BE481" s="208"/>
      <c r="BF481" s="208"/>
      <c r="BG481" s="1184"/>
      <c r="BH481" s="1184"/>
      <c r="BI481" s="1184"/>
      <c r="BJ481" s="1184"/>
      <c r="BK481" s="1184"/>
      <c r="BL481" s="1184"/>
      <c r="BM481" s="1184"/>
      <c r="BN481" s="1184"/>
      <c r="BO481" s="1184"/>
      <c r="BP481" s="1184"/>
      <c r="BQ481" s="1184"/>
      <c r="BR481" s="1184"/>
      <c r="BS481" s="1184"/>
      <c r="BT481" s="1184"/>
      <c r="BU481" s="1184"/>
      <c r="BV481" s="1184"/>
      <c r="BW481" s="1184"/>
      <c r="BX481" s="1184"/>
      <c r="BY481" s="1184"/>
      <c r="BZ481" s="208"/>
      <c r="CA481" s="208"/>
      <c r="CB481" s="208"/>
      <c r="CC481" s="208"/>
      <c r="CD481" s="211"/>
    </row>
    <row r="482" ht="18" customHeight="1">
      <c r="A482" s="362"/>
      <c r="B482" s="363"/>
      <c r="C482" s="363"/>
      <c r="D482" s="363"/>
      <c r="E482" s="363"/>
      <c r="F482" s="363"/>
      <c r="G482" s="1287"/>
      <c r="H482" s="363"/>
      <c r="I482" s="363"/>
      <c r="J482" s="363"/>
      <c r="K482" s="363"/>
      <c r="L482" s="363"/>
      <c r="M482" s="363"/>
      <c r="N482" s="363"/>
      <c r="O482" s="363"/>
      <c r="P482" s="363"/>
      <c r="Q482" s="363"/>
      <c r="R482" s="363"/>
      <c r="S482" s="363"/>
      <c r="T482" s="363"/>
      <c r="U482" s="363"/>
      <c r="V482" s="363"/>
      <c r="W482" s="363"/>
      <c r="X482" s="363"/>
      <c r="Y482" s="363"/>
      <c r="Z482" s="363"/>
      <c r="AA482" s="363"/>
      <c r="AB482" s="363"/>
      <c r="AC482" s="363"/>
      <c r="AD482" s="363"/>
      <c r="AE482" s="363"/>
      <c r="AF482" s="363"/>
      <c r="AG482" s="363"/>
      <c r="AH482" s="363"/>
      <c r="AI482" s="363"/>
      <c r="AJ482" s="363"/>
      <c r="AK482" s="363"/>
      <c r="AL482" s="363"/>
      <c r="AM482" s="363"/>
      <c r="AN482" s="363"/>
      <c r="AO482" s="363"/>
      <c r="AP482" s="363"/>
      <c r="AQ482" s="363"/>
      <c r="AR482" s="363"/>
      <c r="AS482" s="363"/>
      <c r="AT482" s="363"/>
      <c r="AU482" s="363"/>
      <c r="AV482" s="363"/>
      <c r="AW482" s="363"/>
      <c r="AX482" s="363"/>
      <c r="AY482" s="363"/>
      <c r="AZ482" s="363"/>
      <c r="BA482" s="363"/>
      <c r="BB482" s="363"/>
      <c r="BC482" s="363"/>
      <c r="BD482" s="363"/>
      <c r="BE482" s="363"/>
      <c r="BF482" s="363"/>
      <c r="BG482" s="1288"/>
      <c r="BH482" s="1288"/>
      <c r="BI482" s="1288"/>
      <c r="BJ482" s="1288"/>
      <c r="BK482" s="1288"/>
      <c r="BL482" s="1288"/>
      <c r="BM482" s="1288"/>
      <c r="BN482" s="1288"/>
      <c r="BO482" s="1288"/>
      <c r="BP482" s="1288"/>
      <c r="BQ482" s="1288"/>
      <c r="BR482" s="1288"/>
      <c r="BS482" s="1288"/>
      <c r="BT482" s="1288"/>
      <c r="BU482" s="1288"/>
      <c r="BV482" s="1288"/>
      <c r="BW482" s="1288"/>
      <c r="BX482" s="1288"/>
      <c r="BY482" s="1288"/>
      <c r="BZ482" s="363"/>
      <c r="CA482" s="363"/>
      <c r="CB482" s="363"/>
      <c r="CC482" s="363"/>
      <c r="CD482" s="364"/>
    </row>
  </sheetData>
  <pageMargins left="0.75" right="0.75" top="1" bottom="1" header="0.5" footer="0.5"/>
  <pageSetup firstPageNumber="1" fitToHeight="1" fitToWidth="1" scale="100" useFirstPageNumber="0" orientation="landscape" pageOrder="downThenOver"/>
  <headerFooter>
    <oddFooter>&amp;R&amp;"Times New Roman,Regular"&amp;10&amp;K000000Appraisal Tool 201718  V8 50 Yrs.xlsm	06/01/2020]</oddFooter>
  </headerFooter>
  <drawing r:id="rId1"/>
  <legacyDrawing r:id="rId2"/>
</worksheet>
</file>

<file path=xl/worksheets/sheet35.xml><?xml version="1.0" encoding="utf-8"?>
<worksheet xmlns:r="http://schemas.openxmlformats.org/officeDocument/2006/relationships" xmlns="http://schemas.openxmlformats.org/spreadsheetml/2006/main">
  <dimension ref="A1:AZ400"/>
  <sheetViews>
    <sheetView workbookViewId="0" defaultGridColor="0" colorId="15"/>
  </sheetViews>
  <sheetFormatPr defaultColWidth="8.625" defaultRowHeight="12" customHeight="1" outlineLevelRow="0" outlineLevelCol="0"/>
  <cols>
    <col min="1" max="1" width="8.625" style="1290" customWidth="1"/>
    <col min="2" max="2" width="15.875" style="1290" customWidth="1"/>
    <col min="3" max="3" width="8.625" style="1290" customWidth="1"/>
    <col min="4" max="4" width="8.625" style="1290" customWidth="1"/>
    <col min="5" max="5" width="8.625" style="1290" customWidth="1"/>
    <col min="6" max="6" width="8.625" style="1290" customWidth="1"/>
    <col min="7" max="7" width="8.625" style="1290" customWidth="1"/>
    <col min="8" max="8" width="8.625" style="1290" customWidth="1"/>
    <col min="9" max="9" width="8.625" style="1290" customWidth="1"/>
    <col min="10" max="10" width="8.625" style="1290" customWidth="1"/>
    <col min="11" max="11" width="8.625" style="1290" customWidth="1"/>
    <col min="12" max="12" width="8.625" style="1290" customWidth="1"/>
    <col min="13" max="13" width="8.625" style="1290" customWidth="1"/>
    <col min="14" max="14" width="8.625" style="1290" customWidth="1"/>
    <col min="15" max="15" width="8.625" style="1290" customWidth="1"/>
    <col min="16" max="16" width="8.625" style="1290" customWidth="1"/>
    <col min="17" max="17" width="8.625" style="1290" customWidth="1"/>
    <col min="18" max="18" width="8.625" style="1290" customWidth="1"/>
    <col min="19" max="19" width="8.625" style="1290" customWidth="1"/>
    <col min="20" max="20" width="8.625" style="1290" customWidth="1"/>
    <col min="21" max="21" width="8.625" style="1290" customWidth="1"/>
    <col min="22" max="22" width="8.625" style="1290" customWidth="1"/>
    <col min="23" max="23" width="8.625" style="1290" customWidth="1"/>
    <col min="24" max="24" width="8.625" style="1290" customWidth="1"/>
    <col min="25" max="25" width="8.625" style="1290" customWidth="1"/>
    <col min="26" max="26" width="8.625" style="1290" customWidth="1"/>
    <col min="27" max="27" width="8.625" style="1290" customWidth="1"/>
    <col min="28" max="28" width="8.625" style="1290" customWidth="1"/>
    <col min="29" max="29" width="8.625" style="1290" customWidth="1"/>
    <col min="30" max="30" width="8.625" style="1290" customWidth="1"/>
    <col min="31" max="31" width="8.625" style="1290" customWidth="1"/>
    <col min="32" max="32" width="8.625" style="1290" customWidth="1"/>
    <col min="33" max="33" width="8.625" style="1290" customWidth="1"/>
    <col min="34" max="34" width="8.625" style="1290" customWidth="1"/>
    <col min="35" max="35" width="8.625" style="1290" customWidth="1"/>
    <col min="36" max="36" width="8.625" style="1290" customWidth="1"/>
    <col min="37" max="37" width="8.625" style="1290" customWidth="1"/>
    <col min="38" max="38" width="8.625" style="1290" customWidth="1"/>
    <col min="39" max="39" width="8.625" style="1290" customWidth="1"/>
    <col min="40" max="40" width="8.625" style="1290" customWidth="1"/>
    <col min="41" max="41" width="8.625" style="1290" customWidth="1"/>
    <col min="42" max="42" width="8.625" style="1290" customWidth="1"/>
    <col min="43" max="43" width="8.625" style="1290" customWidth="1"/>
    <col min="44" max="44" width="8.625" style="1290" customWidth="1"/>
    <col min="45" max="45" width="8.625" style="1290" customWidth="1"/>
    <col min="46" max="46" width="8.625" style="1290" customWidth="1"/>
    <col min="47" max="47" width="8.625" style="1290" customWidth="1"/>
    <col min="48" max="48" width="8.625" style="1290" customWidth="1"/>
    <col min="49" max="49" width="8.625" style="1290" customWidth="1"/>
    <col min="50" max="50" width="8.625" style="1290" customWidth="1"/>
    <col min="51" max="51" width="8.625" style="1290" customWidth="1"/>
    <col min="52" max="52" width="8.625" style="1290" customWidth="1"/>
    <col min="53" max="256" width="8.625" style="1289" customWidth="1"/>
  </cols>
  <sheetData>
    <row r="1" s="417" customFormat="1" ht="15.65" customHeight="1">
      <c r="B1" t="s" s="1291">
        <v>1133</v>
      </c>
      <c r="C1" s="1292">
        <f>'Project Information'!H54</f>
        <v>5</v>
      </c>
    </row>
    <row r="2" s="417" customFormat="1" ht="15.65" customHeight="1">
      <c r="B2" t="s" s="1291">
        <v>1134</v>
      </c>
      <c r="C2" s="1292">
        <f>'Project Information'!H51</f>
        <v>5</v>
      </c>
      <c r="D2" s="1293">
        <f>C2+1</f>
        <v>6</v>
      </c>
    </row>
    <row r="3" s="417" customFormat="1" ht="15.65" customHeight="1">
      <c r="B3" t="s" s="1291">
        <v>220</v>
      </c>
      <c r="C3" t="s" s="1294">
        <f>'Project Information'!H53</f>
        <v>9</v>
      </c>
    </row>
    <row r="4" s="417" customFormat="1" ht="15.65" customHeight="1">
      <c r="B4" t="s" s="1291">
        <v>1135</v>
      </c>
      <c r="C4" s="1295">
        <f>C2+C1</f>
        <v>10</v>
      </c>
    </row>
    <row r="5" s="417" customFormat="1" ht="15.65" customHeight="1">
      <c r="B5" t="s" s="1291">
        <v>1136</v>
      </c>
      <c r="C5" t="s" s="1294">
        <f>'Project Information'!H52</f>
        <v>9</v>
      </c>
    </row>
    <row r="6" s="417" customFormat="1" ht="15.65" customHeight="1">
      <c r="B6" t="s" s="1291">
        <v>211</v>
      </c>
      <c r="C6" s="1296">
        <f>'Project Information'!H50</f>
        <v>0.05</v>
      </c>
    </row>
    <row r="7" s="417" customFormat="1" ht="15.65" customHeight="1">
      <c r="B7" t="s" s="1291">
        <v>178</v>
      </c>
      <c r="C7" s="1292">
        <f>'Project Information'!H48</f>
        <v>0</v>
      </c>
    </row>
    <row r="10" s="417" customFormat="1" ht="15.65" customHeight="1">
      <c r="C10" s="1293">
        <v>1</v>
      </c>
      <c r="D10" s="1293">
        <f>C10+1</f>
        <v>2</v>
      </c>
      <c r="E10" s="1293">
        <f>D10+1</f>
        <v>3</v>
      </c>
      <c r="F10" s="1293">
        <f>E10+1</f>
        <v>4</v>
      </c>
      <c r="G10" s="1293">
        <f>F10+1</f>
        <v>5</v>
      </c>
      <c r="H10" s="1293">
        <f>G10+1</f>
        <v>6</v>
      </c>
      <c r="I10" s="1293">
        <f>H10+1</f>
        <v>7</v>
      </c>
      <c r="J10" s="1293">
        <f>I10+1</f>
        <v>8</v>
      </c>
      <c r="K10" s="1293">
        <f>J10+1</f>
        <v>9</v>
      </c>
      <c r="L10" s="1293">
        <f>K10+1</f>
        <v>10</v>
      </c>
      <c r="M10" s="1293">
        <f>L10+1</f>
        <v>11</v>
      </c>
      <c r="N10" s="1293">
        <f>M10+1</f>
        <v>12</v>
      </c>
      <c r="O10" s="1293">
        <f>N10+1</f>
        <v>13</v>
      </c>
      <c r="P10" s="1293">
        <f>O10+1</f>
        <v>14</v>
      </c>
      <c r="Q10" s="1293">
        <f>P10+1</f>
        <v>15</v>
      </c>
      <c r="R10" s="1293">
        <f>Q10+1</f>
        <v>16</v>
      </c>
      <c r="S10" s="1293">
        <f>R10+1</f>
        <v>17</v>
      </c>
      <c r="T10" s="1293">
        <f>S10+1</f>
        <v>18</v>
      </c>
      <c r="U10" s="1293">
        <f>T10+1</f>
        <v>19</v>
      </c>
      <c r="V10" s="1293">
        <f>U10+1</f>
        <v>20</v>
      </c>
      <c r="W10" s="1293">
        <f>V10+1</f>
        <v>21</v>
      </c>
      <c r="X10" s="1293">
        <f>W10+1</f>
        <v>22</v>
      </c>
      <c r="Y10" s="1293">
        <f>X10+1</f>
        <v>23</v>
      </c>
      <c r="Z10" s="1293">
        <f>Y10+1</f>
        <v>24</v>
      </c>
      <c r="AA10" s="1293">
        <f>Z10+1</f>
        <v>25</v>
      </c>
      <c r="AB10" s="1293">
        <f>AA10+1</f>
        <v>26</v>
      </c>
      <c r="AC10" s="1293">
        <f>AB10+1</f>
        <v>27</v>
      </c>
      <c r="AD10" s="1293">
        <f>AC10+1</f>
        <v>28</v>
      </c>
      <c r="AE10" s="1293">
        <f>AD10+1</f>
        <v>29</v>
      </c>
      <c r="AF10" s="1293">
        <f>AE10+1</f>
        <v>30</v>
      </c>
      <c r="AG10" s="1293">
        <f>AF10+1</f>
        <v>31</v>
      </c>
      <c r="AH10" s="1293">
        <f>AG10+1</f>
        <v>32</v>
      </c>
      <c r="AI10" s="1293">
        <f>AH10+1</f>
        <v>33</v>
      </c>
      <c r="AJ10" s="1293">
        <f>AI10+1</f>
        <v>34</v>
      </c>
      <c r="AK10" s="1293">
        <f>AJ10+1</f>
        <v>35</v>
      </c>
      <c r="AL10" s="1293">
        <f>AK10+1</f>
        <v>36</v>
      </c>
      <c r="AM10" s="1293">
        <f>AL10+1</f>
        <v>37</v>
      </c>
      <c r="AN10" s="1293">
        <f>AM10+1</f>
        <v>38</v>
      </c>
      <c r="AO10" s="1293">
        <f>AN10+1</f>
        <v>39</v>
      </c>
      <c r="AP10" s="1293">
        <f>AO10+1</f>
        <v>40</v>
      </c>
    </row>
    <row r="12" s="417" customFormat="1" ht="15.65" customHeight="1">
      <c r="B12" t="s" s="1291">
        <v>1137</v>
      </c>
      <c r="C12" s="1293">
        <f>C7</f>
        <v>0</v>
      </c>
      <c r="D12" s="1293">
        <f>C18</f>
        <v>0</v>
      </c>
      <c r="E12" s="1293">
        <f>D18</f>
        <v>0</v>
      </c>
      <c r="F12" s="1293">
        <f>E18</f>
        <v>0</v>
      </c>
      <c r="G12" s="1293">
        <f>F18</f>
        <v>0</v>
      </c>
      <c r="H12" s="1293">
        <f>G18</f>
        <v>0</v>
      </c>
      <c r="I12" s="1293">
        <f>H18</f>
        <v>0</v>
      </c>
      <c r="J12" s="1293">
        <f>I18</f>
        <v>0</v>
      </c>
      <c r="K12" s="1293">
        <f>J18</f>
        <v>0</v>
      </c>
      <c r="L12" s="1293">
        <f>K18</f>
        <v>0</v>
      </c>
      <c r="M12" s="1293">
        <f>L18</f>
        <v>0</v>
      </c>
      <c r="N12" s="1293">
        <f>M18</f>
        <v>0</v>
      </c>
      <c r="O12" s="1293">
        <f>N18</f>
        <v>0</v>
      </c>
      <c r="P12" s="1293">
        <f>O18</f>
        <v>0</v>
      </c>
      <c r="Q12" s="1293">
        <f>P18</f>
        <v>0</v>
      </c>
      <c r="R12" s="1293">
        <f>Q18</f>
        <v>0</v>
      </c>
      <c r="S12" s="1293">
        <f>R18</f>
        <v>0</v>
      </c>
      <c r="T12" s="1293">
        <f>S18</f>
        <v>0</v>
      </c>
      <c r="U12" s="1293">
        <f>T18</f>
        <v>0</v>
      </c>
      <c r="V12" s="1293">
        <f>U18</f>
        <v>0</v>
      </c>
      <c r="W12" s="1293">
        <f>V18</f>
        <v>0</v>
      </c>
      <c r="X12" s="1293">
        <f>W18</f>
        <v>0</v>
      </c>
      <c r="Y12" s="1293">
        <f>X18</f>
        <v>0</v>
      </c>
      <c r="Z12" s="1293">
        <f>Y18</f>
        <v>0</v>
      </c>
      <c r="AA12" s="1293">
        <f>Z18</f>
        <v>0</v>
      </c>
      <c r="AB12" s="1293">
        <f>AA18</f>
        <v>0</v>
      </c>
      <c r="AC12" s="1293">
        <f>AB18</f>
        <v>0</v>
      </c>
      <c r="AD12" s="1297">
        <f>AC18</f>
        <v>0</v>
      </c>
      <c r="AE12" s="1293">
        <f>AD18</f>
        <v>0</v>
      </c>
      <c r="AF12" s="1293">
        <f>AE18</f>
        <v>0</v>
      </c>
      <c r="AG12" s="1293">
        <f>AF18</f>
        <v>0</v>
      </c>
      <c r="AH12" s="1293">
        <f>AG18</f>
        <v>0</v>
      </c>
      <c r="AI12" s="1293">
        <f>AH18</f>
        <v>0</v>
      </c>
      <c r="AJ12" s="1293">
        <f>AI18</f>
        <v>0</v>
      </c>
      <c r="AK12" s="1293">
        <f>AJ18</f>
        <v>0</v>
      </c>
      <c r="AL12" s="1293">
        <f>AK18</f>
        <v>0</v>
      </c>
      <c r="AM12" s="1293">
        <f>AL18</f>
        <v>0</v>
      </c>
      <c r="AN12" s="1293">
        <f>AM18</f>
        <v>0</v>
      </c>
      <c r="AO12" s="1293">
        <f>AN18</f>
        <v>0</v>
      </c>
      <c r="AP12" s="1293">
        <f>AO18</f>
        <v>0</v>
      </c>
    </row>
    <row r="13" s="417" customFormat="1" ht="15.65" customHeight="1">
      <c r="B13" t="s" s="1291">
        <v>1022</v>
      </c>
      <c r="C13" s="1293">
        <f>IF(AND($C$5="Yes",$C$2&gt;=C10),C12*$C$6,0)</f>
        <v>0</v>
      </c>
      <c r="D13" s="1293">
        <f>IF(AND($C$5="Yes",$C$2&gt;=D10),D12*$C$6,0)</f>
        <v>0</v>
      </c>
      <c r="E13" s="1293">
        <f>IF(AND($C$5="Yes",$C$2&gt;=E10),E12*$C$6,0)</f>
        <v>0</v>
      </c>
      <c r="F13" s="1293">
        <f>IF(AND($C$5="Yes",$C$2&gt;=F10),F12*$C$6,0)</f>
        <v>0</v>
      </c>
      <c r="G13" s="1293">
        <f>IF(AND($C$5="Yes",$C$2&gt;=G10),G12*$C$6,0)</f>
        <v>0</v>
      </c>
      <c r="H13" s="1293">
        <f>IF(AND($C$5="Yes",$C$2&gt;=H10),H12*$C$6,0)</f>
        <v>0</v>
      </c>
      <c r="I13" s="1293">
        <f>IF(AND($C$5="Yes",$C$2&gt;=I10),I12*$C$6,0)</f>
        <v>0</v>
      </c>
      <c r="J13" s="1293">
        <f>IF(AND($C$5="Yes",$C$2&gt;=J10),J12*$C$6,0)</f>
        <v>0</v>
      </c>
      <c r="K13" s="1293">
        <f>IF(AND($C$5="Yes",$C$2&gt;=K10),K12*$C$6,0)</f>
        <v>0</v>
      </c>
      <c r="L13" s="1293">
        <f>IF(AND($C$5="Yes",$C$2&gt;=L10),L12*$C$6,0)</f>
        <v>0</v>
      </c>
      <c r="M13" s="1293">
        <f>IF(AND($C$5="Yes",$C$2&gt;=M10),M12*$C$6,0)</f>
        <v>0</v>
      </c>
      <c r="N13" s="1293">
        <f>IF(AND($C$5="Yes",$C$2&gt;=N10),N12*$C$6,0)</f>
        <v>0</v>
      </c>
      <c r="O13" s="1293">
        <f>IF(AND($C$5="Yes",$C$2&gt;=O10),O12*$C$6,0)</f>
        <v>0</v>
      </c>
      <c r="P13" s="1293">
        <f>IF(AND($C$5="Yes",$C$2&gt;=P10),P12*$C$6,0)</f>
        <v>0</v>
      </c>
      <c r="Q13" s="1293">
        <f>IF(AND($C$5="Yes",$C$2&gt;=Q10),Q12*$C$6,0)</f>
        <v>0</v>
      </c>
      <c r="R13" s="1293">
        <f>IF(AND($C$5="Yes",$C$2&gt;=R10),R12*$C$6,0)</f>
        <v>0</v>
      </c>
      <c r="S13" s="1293">
        <f>IF(AND($C$5="Yes",$C$2&gt;=S10),S12*$C$6,0)</f>
        <v>0</v>
      </c>
      <c r="T13" s="1293">
        <f>IF(AND($C$5="Yes",$C$2&gt;=T10),T12*$C$6,0)</f>
        <v>0</v>
      </c>
      <c r="U13" s="1293">
        <f>IF(AND($C$5="Yes",$C$2&gt;=U10),U12*$C$6,0)</f>
        <v>0</v>
      </c>
      <c r="V13" s="1293">
        <f>IF(AND($C$5="Yes",$C$2&gt;=V10),V12*$C$6,0)</f>
        <v>0</v>
      </c>
      <c r="W13" s="1293">
        <f>IF(AND($C$5="Yes",$C$2&gt;=W10),W12*$C$6,0)</f>
        <v>0</v>
      </c>
      <c r="X13" s="1293">
        <f>IF(AND($C$5="Yes",$C$2&gt;=X10),X12*$C$6,0)</f>
        <v>0</v>
      </c>
      <c r="Y13" s="1293">
        <f>IF(AND($C$5="Yes",$C$2&gt;=Y10),Y12*$C$6,0)</f>
        <v>0</v>
      </c>
      <c r="Z13" s="1293">
        <f>IF(AND($C$5="Yes",$C$2&gt;=Z10),Z12*$C$6,0)</f>
        <v>0</v>
      </c>
      <c r="AA13" s="1293">
        <f>IF(AND($C$5="Yes",$C$2&gt;=AA10),AA12*$C$6,0)</f>
        <v>0</v>
      </c>
      <c r="AB13" s="1293">
        <f>IF(AND($C$5="Yes",$C$2&gt;=AB10),AB12*$C$6,0)</f>
        <v>0</v>
      </c>
      <c r="AC13" s="1293">
        <f>IF(AND($C$5="Yes",$C$2&gt;=AC10),AC12*$C$6,0)</f>
        <v>0</v>
      </c>
      <c r="AD13" s="1293">
        <f>IF(AND($C$5="Yes",$C$2&gt;=AD10),AD12*$C$6,0)</f>
        <v>0</v>
      </c>
      <c r="AE13" s="1293">
        <f>IF(AND($C$5="Yes",$C$2&gt;=AE10),AE12*$C$6,0)</f>
        <v>0</v>
      </c>
      <c r="AF13" s="1293">
        <f>IF(AND($C$5="Yes",$C$2&gt;=AF10),AF12*$C$6,0)</f>
        <v>0</v>
      </c>
      <c r="AG13" s="1293">
        <f>IF(AND($C$5="Yes",$C$2&gt;=AG10),AG12*$C$6,0)</f>
        <v>0</v>
      </c>
      <c r="AH13" s="1293">
        <f>IF(AND($C$5="Yes",$C$2&gt;=AH10),AH12*$C$6,0)</f>
        <v>0</v>
      </c>
      <c r="AI13" s="1293">
        <f>IF(AND($C$5="Yes",$C$2&gt;=AI10),AI12*$C$6,0)</f>
        <v>0</v>
      </c>
      <c r="AJ13" s="1293">
        <f>IF(AND($C$5="Yes",$C$2&gt;=AJ10),AJ12*$C$6,0)</f>
        <v>0</v>
      </c>
      <c r="AK13" s="1293">
        <f>IF(AND($C$5="Yes",$C$2&gt;=AK10),AK12*$C$6,0)</f>
        <v>0</v>
      </c>
      <c r="AL13" s="1293">
        <f>IF(AND($C$5="Yes",$C$2&gt;=AL10),AL12*$C$6,0)</f>
        <v>0</v>
      </c>
      <c r="AM13" s="1293">
        <f>IF(AND($C$5="Yes",$C$2&gt;=AM10),AM12*$C$6,0)</f>
        <v>0</v>
      </c>
      <c r="AN13" s="1293">
        <f>IF(AND($C$5="Yes",$C$2&gt;=AN10),AN12*$C$6,0)</f>
        <v>0</v>
      </c>
      <c r="AO13" s="1293">
        <f>IF(AND($C$5="Yes",$C$2&gt;=AO10),AO12*$C$6,0)</f>
        <v>0</v>
      </c>
      <c r="AP13" s="1293">
        <f>IF(AND($C$5="Yes",$C$2&gt;=AP10),AP12*$C$6,0)</f>
        <v>0</v>
      </c>
    </row>
    <row r="14" s="417" customFormat="1" ht="15.65" customHeight="1">
      <c r="B14" t="s" s="1291">
        <v>1138</v>
      </c>
      <c r="C14" s="1293">
        <f>IF(AND($C$3="Yes",$C$2=C10),-C12-C13,0)</f>
        <v>0</v>
      </c>
      <c r="D14" s="1293">
        <f>IF(AND($C$3="Yes",$C$2=D10),-D12-D13,0)</f>
        <v>0</v>
      </c>
      <c r="E14" s="1293">
        <f>IF(AND($C$3="Yes",$C$2=E10),-E12-E13,0)</f>
        <v>0</v>
      </c>
      <c r="F14" s="1293">
        <f>IF(AND($C$3="Yes",$C$2=F10),-F12-F13,0)</f>
        <v>0</v>
      </c>
      <c r="G14" s="1293">
        <f>IF(AND($C$3="Yes",$C$2=G10),-G12-G13,0)</f>
        <v>0</v>
      </c>
      <c r="H14" s="1293">
        <f>IF(AND($C$3="Yes",$C$2=H10),-H12-H13,0)</f>
        <v>0</v>
      </c>
      <c r="I14" s="1293">
        <f>IF(AND($C$3="Yes",$C$2=I10),-I12-I13,0)</f>
        <v>0</v>
      </c>
      <c r="J14" s="1293">
        <f>IF(AND($C$3="Yes",$C$2=J10),-J12-J13,0)</f>
        <v>0</v>
      </c>
      <c r="K14" s="1293">
        <f>IF(AND($C$3="Yes",$C$2=K10),-K12-K13,0)</f>
        <v>0</v>
      </c>
      <c r="L14" s="1293">
        <f>IF(AND($C$3="Yes",$C$2=L10),-L12-L13,0)</f>
        <v>0</v>
      </c>
      <c r="M14" s="1293">
        <f>IF(AND($C$3="Yes",$C$2=M10),-M12-M13,0)</f>
        <v>0</v>
      </c>
      <c r="N14" s="1293">
        <f>IF(AND($C$3="Yes",$C$2=N10),-N12-N13,0)</f>
        <v>0</v>
      </c>
      <c r="O14" s="1293">
        <f>IF(AND($C$3="Yes",$C$2=O10),-O12-O13,0)</f>
        <v>0</v>
      </c>
      <c r="P14" s="1293">
        <f>IF(AND($C$3="Yes",$C$2=P10),-P12-P13,0)</f>
        <v>0</v>
      </c>
      <c r="Q14" s="1293">
        <f>IF(AND($C$3="Yes",$C$2=Q10),-Q12-Q13,0)</f>
        <v>0</v>
      </c>
      <c r="R14" s="1293">
        <f>IF(AND($C$3="Yes",$C$2=R10),-R12-R13,0)</f>
        <v>0</v>
      </c>
      <c r="S14" s="1293">
        <f>IF(AND($C$3="Yes",$C$2=S10),-S12-S13,0)</f>
        <v>0</v>
      </c>
      <c r="T14" s="1293">
        <f>IF(AND($C$3="Yes",$C$2=T10),-T12-T13,0)</f>
        <v>0</v>
      </c>
      <c r="U14" s="1293">
        <f>IF(AND($C$3="Yes",$C$2=U10),-U12-U13,0)</f>
        <v>0</v>
      </c>
      <c r="V14" s="1293">
        <f>IF(AND($C$3="Yes",$C$2=V10),-V12-V13,0)</f>
        <v>0</v>
      </c>
      <c r="W14" s="1293">
        <f>IF(AND($C$3="Yes",$C$2=W10),-W12-W13,0)</f>
        <v>0</v>
      </c>
      <c r="X14" s="1293">
        <f>IF(AND($C$3="Yes",$C$2=X10),-X12-X13,0)</f>
        <v>0</v>
      </c>
      <c r="Y14" s="1293">
        <f>IF(AND($C$3="Yes",$C$2=Y10),-Y12-Y13,0)</f>
        <v>0</v>
      </c>
      <c r="Z14" s="1293">
        <f>IF(AND($C$3="Yes",$C$2=Z10),-Z12-Z13,0)</f>
        <v>0</v>
      </c>
      <c r="AA14" s="1293">
        <f>IF(AND($C$3="Yes",$C$2=AA10),-AA12-AA13,0)</f>
        <v>0</v>
      </c>
      <c r="AB14" s="1293">
        <f>IF(AND($C$3="Yes",$C$2=AB10),-AB12-AB13,0)</f>
        <v>0</v>
      </c>
      <c r="AC14" s="1293">
        <f>IF(AND($C$3="Yes",$C$2=AC10),-AC12-AC13,0)</f>
        <v>0</v>
      </c>
      <c r="AD14" s="1293">
        <f>IF(AND($C$3="Yes",$C$2=AD10),-AD12-AD13,0)</f>
        <v>0</v>
      </c>
      <c r="AE14" s="1293">
        <f>IF(AND($C$3="Yes",$C$2=AE10),-AE12-AE13,0)</f>
        <v>0</v>
      </c>
      <c r="AF14" s="1293">
        <f>IF(AND($C$3="Yes",$C$2=AF10),-AF12-AF13,0)</f>
        <v>0</v>
      </c>
      <c r="AG14" s="1293">
        <f>IF(AND($C$3="Yes",$C$2=AG10),-AG12-AG13,0)</f>
        <v>0</v>
      </c>
      <c r="AH14" s="1293">
        <f>IF(AND($C$3="Yes",$C$2=AH10),-AH12-AH13,0)</f>
        <v>0</v>
      </c>
      <c r="AI14" s="1293">
        <f>IF(AND($C$3="Yes",$C$2=AI10),-AI12-AI13,0)</f>
        <v>0</v>
      </c>
      <c r="AJ14" s="1293">
        <f>IF(AND($C$3="Yes",$C$2=AJ10),-AJ12-AJ13,0)</f>
        <v>0</v>
      </c>
      <c r="AK14" s="1293">
        <f>IF(AND($C$3="Yes",$C$2=AK10),-AK12-AK13,0)</f>
        <v>0</v>
      </c>
      <c r="AL14" s="1293">
        <f>IF(AND($C$3="Yes",$C$2=AL10),-AL12-AL13,0)</f>
        <v>0</v>
      </c>
      <c r="AM14" s="1293">
        <f>IF(AND($C$3="Yes",$C$2=AM10),-AM12-AM13,0)</f>
        <v>0</v>
      </c>
      <c r="AN14" s="1293">
        <f>IF(AND($C$3="Yes",$C$2=AN10),-AN12-AN13,0)</f>
        <v>0</v>
      </c>
      <c r="AO14" s="1293">
        <f>IF(AND($C$3="Yes",$C$2=AO10),-AO12-AO13,0)</f>
        <v>0</v>
      </c>
      <c r="AP14" s="1293">
        <f>IF(AND($C$3="Yes",$C$2=AP10),-AP12-AP13,0)</f>
        <v>0</v>
      </c>
    </row>
    <row r="15" s="417" customFormat="1" ht="15.65" customHeight="1">
      <c r="B15" t="s" s="1291">
        <v>1139</v>
      </c>
      <c r="C15" s="1293">
        <f>-(IF($D$2&lt;=C10,C12/$C$1,0))</f>
        <v>0</v>
      </c>
      <c r="D15" s="1293">
        <f>-(IF($D$2=D10,D12/$C$1,0))+C15</f>
        <v>0</v>
      </c>
      <c r="E15" s="1293">
        <f>-(IF($D$2=E10,E12/$C$1,0))+D15</f>
        <v>0</v>
      </c>
      <c r="F15" s="1293">
        <f>-(IF($D$2=F10,F12/$C$1,0))+E15</f>
        <v>0</v>
      </c>
      <c r="G15" s="1293">
        <f>-(IF($D$2=G10,G12/$C$1,0))+F15</f>
        <v>0</v>
      </c>
      <c r="H15" s="1293">
        <f>-(IF($D$2=H10,H12/$C$1,0))+G15</f>
        <v>0</v>
      </c>
      <c r="I15" s="1293">
        <f>IF(H18=0,0)-(IF($D$2=I10,I12/$C$1,0))+H15</f>
        <v>0</v>
      </c>
      <c r="J15" s="1293">
        <f>IF(I18=0,0)-(IF($D$2=J10,J12/$C$1,0))+I15</f>
        <v>0</v>
      </c>
      <c r="K15" s="1293">
        <f>IF(J18=0,0)-(IF($D$2=K10,K12/$C$1,0))+J15</f>
        <v>0</v>
      </c>
      <c r="L15" s="1293">
        <f>IF(K18=0,0)-(IF($D$2=L10,L12/$C$1,0))+K15</f>
        <v>0</v>
      </c>
      <c r="M15" s="1293">
        <f>IF(L18=0,0)-(IF($D$2=M10,M12/$C$1,0))+L15</f>
        <v>0</v>
      </c>
      <c r="N15" s="1293">
        <f>IF(M18=0,0)-(IF($D$2=N10,N12/$C$1,0))+M15</f>
        <v>0</v>
      </c>
      <c r="O15" s="1293">
        <f>IF(N18=0,0)-(IF($D$2=O10,O12/$C$1,0))+N15</f>
        <v>0</v>
      </c>
      <c r="P15" s="1293">
        <f>IF(O18=0,0)-(IF($D$2=P10,P12/$C$1,0))+O15</f>
        <v>0</v>
      </c>
      <c r="Q15" s="1293">
        <f>IF(P18=0,0)-(IF($D$2=Q10,Q12/$C$1,0))+P15</f>
        <v>0</v>
      </c>
      <c r="R15" s="1293">
        <f>IF(Q18=0,0)-(IF($D$2=R10,R12/$C$1,0))+Q15</f>
        <v>0</v>
      </c>
      <c r="S15" s="1293">
        <f>IF(R18=0,0)-(IF($D$2=S10,S12/$C$1,0))+R15</f>
        <v>0</v>
      </c>
      <c r="T15" s="1293">
        <f>IF(S18=0,0)-(IF($D$2=T10,T12/$C$1,0))+S15</f>
        <v>0</v>
      </c>
      <c r="U15" s="1293">
        <f>IF(T18=0,0)-(IF($D$2=U10,U12/$C$1,0))+T15</f>
        <v>0</v>
      </c>
      <c r="V15" s="1293">
        <f>IF(U18=0,0)-(IF($D$2=V10,V12/$C$1,0))+U15</f>
        <v>0</v>
      </c>
      <c r="W15" s="1293">
        <f>IF(V18=0,0)-(IF($D$2=W10,W12/$C$1,0))+V15</f>
        <v>0</v>
      </c>
      <c r="X15" s="1293">
        <f>IF(W18=0,0)-(IF($D$2=X10,X12/$C$1,0))+W15</f>
        <v>0</v>
      </c>
      <c r="Y15" s="1293">
        <f>IF(X18=0,0)-(IF($D$2=Y10,Y12/$C$1,0))+X15</f>
        <v>0</v>
      </c>
      <c r="Z15" s="1293">
        <f>IF(Y18=0,0)-(IF($D$2=Z10,Z12/$C$1,0))+Y15</f>
        <v>0</v>
      </c>
      <c r="AA15" s="1293">
        <f>IF(Z18=0,0)-(IF($D$2=AA10,AA12/$C$1,0))+Z15</f>
        <v>0</v>
      </c>
      <c r="AB15" s="1293">
        <f>IF(AA18=0,0)-(IF($D$2=AB10,AB12/$C$1,0))+AA15</f>
        <v>0</v>
      </c>
      <c r="AC15" s="1293">
        <f>IF(AB18=0,0)-(IF($D$2=AC10,AC12/$C$1,0))+AB15</f>
        <v>0</v>
      </c>
      <c r="AD15" s="1293">
        <f>IF(AC18=0,0)-(IF($D$2=AD10,AD12/$C$1,0))+AC15</f>
        <v>0</v>
      </c>
      <c r="AE15" s="1293">
        <f>IF(AD18=0,0)-(IF($D$2=AE10,AE12/$C$1,0))+AD15</f>
        <v>0</v>
      </c>
      <c r="AF15" s="1293">
        <f>IF(AE18=0,0)-(IF($D$2=AF10,AF12/$C$1,0))+AE15</f>
        <v>0</v>
      </c>
      <c r="AG15" s="1293">
        <f>IF(AF18=0,0)-(IF($D$2=AG10,AG12/$C$1,0))+AF15</f>
        <v>0</v>
      </c>
      <c r="AH15" s="1293">
        <f>IF(AG18=0,0)-(IF($D$2=AH10,AH12/$C$1,0))+AG15</f>
        <v>0</v>
      </c>
      <c r="AI15" s="1293">
        <f>IF(AH18=0,0)-(IF($D$2=AI10,AI12/$C$1,0))+AH15</f>
        <v>0</v>
      </c>
      <c r="AJ15" s="1293">
        <f>IF(AI18=0,0)-(IF($D$2=AJ10,AJ12/$C$1,0))+AI15</f>
        <v>0</v>
      </c>
      <c r="AK15" s="1293">
        <f>IF(AJ18=0,0)-(IF($D$2=AK10,AK12/$C$1,0))+AJ15</f>
        <v>0</v>
      </c>
      <c r="AL15" s="1293">
        <f>IF(AK18=0,0)-(IF($D$2=AL10,AL12/$C$1,0))+AK15</f>
        <v>0</v>
      </c>
      <c r="AM15" s="1293">
        <f>IF(AL18=0,0)-(IF($D$2=AM10,AM12/$C$1,0))+AL15</f>
        <v>0</v>
      </c>
      <c r="AN15" s="1293">
        <f>IF(AM18=0,0)-(IF($D$2=AN10,AN12/$C$1,0))+AM15</f>
        <v>0</v>
      </c>
      <c r="AO15" s="1293">
        <f>IF(AN18=0,0)-(IF($D$2=AO10,AO12/$C$1,0))+AN15</f>
        <v>0</v>
      </c>
      <c r="AP15" s="1293">
        <f>IF(AO18=0,0)-(IF($D$2=AP10,AP12/$C$1,0))+AO15</f>
        <v>0</v>
      </c>
    </row>
    <row r="16" s="417" customFormat="1" ht="15.65" customHeight="1">
      <c r="B16" t="s" s="1291">
        <v>1022</v>
      </c>
      <c r="C16" s="1293">
        <f>IF(C13&gt;0,0,(C12+C15/2)*$C$6)</f>
        <v>0</v>
      </c>
      <c r="D16" s="1293">
        <f>IF(D13&gt;0,0,(D12+D15/2)*$C$6)</f>
        <v>0</v>
      </c>
      <c r="E16" s="1293">
        <f>IF(E13&gt;0,0,(E12+E15/2)*$C$6)</f>
        <v>0</v>
      </c>
      <c r="F16" s="1293">
        <f>IF(F13&gt;0,0,(F12+F15/2)*$C$6)</f>
        <v>0</v>
      </c>
      <c r="G16" s="1293">
        <f>IF(G13&gt;0,0,(G12+G15/2)*$C$6)</f>
        <v>0</v>
      </c>
      <c r="H16" s="1293">
        <f>IF(H13&gt;0,0,(H12+H15/2)*$C$6)</f>
        <v>0</v>
      </c>
      <c r="I16" s="1293">
        <f>IF(I13&gt;0,0,(I12+I15/2)*$C$6)</f>
        <v>0</v>
      </c>
      <c r="J16" s="1293">
        <f>IF(J13&gt;0,0,(J12+J15/2)*$C$6)</f>
        <v>0</v>
      </c>
      <c r="K16" s="1293">
        <f>IF(K13&gt;0,0,(K12+K15/2)*$C$6)</f>
        <v>0</v>
      </c>
      <c r="L16" s="1293">
        <f>IF(L13&gt;0,0,(L12+L15/2)*$C$6)</f>
        <v>0</v>
      </c>
      <c r="M16" s="1293">
        <f>IF(M13&gt;0,0,(M12+M15/2)*$C$6)</f>
        <v>0</v>
      </c>
      <c r="N16" s="1293">
        <f>IF(N13&gt;0,0,(N12+N15/2)*$C$6)</f>
        <v>0</v>
      </c>
      <c r="O16" s="1293">
        <f>IF(O13&gt;0,0,(O12+O15/2)*$C$6)</f>
        <v>0</v>
      </c>
      <c r="P16" s="1293">
        <f>IF(P13&gt;0,0,(P12+P15/2)*$C$6)</f>
        <v>0</v>
      </c>
      <c r="Q16" s="1293">
        <f>IF(Q13&gt;0,0,(Q12+Q15/2)*$C$6)</f>
        <v>0</v>
      </c>
      <c r="R16" s="1293">
        <f>IF(R13&gt;0,0,(R12+R15/2)*$C$6)</f>
        <v>0</v>
      </c>
      <c r="S16" s="1293">
        <f>IF(S13&gt;0,0,(S12+S15/2)*$C$6)</f>
        <v>0</v>
      </c>
      <c r="T16" s="1293">
        <f>IF(T13&gt;0,0,(T12+T15/2)*$C$6)</f>
        <v>0</v>
      </c>
      <c r="U16" s="1293">
        <f>IF(U13&gt;0,0,(U12+U15/2)*$C$6)</f>
        <v>0</v>
      </c>
      <c r="V16" s="1293">
        <f>IF(V13&gt;0,0,(V12+V15/2)*$C$6)</f>
        <v>0</v>
      </c>
      <c r="W16" s="1293">
        <f>IF(W13&gt;0,0,(W12+W15/2)*$C$6)</f>
        <v>0</v>
      </c>
      <c r="X16" s="1293">
        <f>IF(X13&gt;0,0,(X12+X15/2)*$C$6)</f>
        <v>0</v>
      </c>
      <c r="Y16" s="1293">
        <f>IF(Y13&gt;0,0,(Y12+Y15/2)*$C$6)</f>
        <v>0</v>
      </c>
      <c r="Z16" s="1293">
        <f>IF(Z13&gt;0,0,(Z12+Z15/2)*$C$6)</f>
        <v>0</v>
      </c>
      <c r="AA16" s="1293">
        <f>IF(AA13&gt;0,0,(AA12+AA15/2)*$C$6)</f>
        <v>0</v>
      </c>
      <c r="AB16" s="1293">
        <f>IF(AB13&gt;0,0,(AB12+AB15/2)*$C$6)</f>
        <v>0</v>
      </c>
      <c r="AC16" s="1293">
        <f>IF(AC13&gt;0,0,(AC12+AC15/2)*$C$6)</f>
        <v>0</v>
      </c>
      <c r="AD16" s="1293">
        <f>IF(AD13&gt;0,0,(AD12+AD15/2)*$C$6)</f>
        <v>0</v>
      </c>
      <c r="AE16" s="1293">
        <f>IF(AE13&gt;0,0,(AE12+AE15/2)*$C$6)</f>
        <v>0</v>
      </c>
      <c r="AF16" s="1293">
        <f>IF(AF13&gt;0,0,(AF12+AF15/2)*$C$6)</f>
        <v>0</v>
      </c>
      <c r="AG16" s="1293">
        <f>IF(AG13&gt;0,0,(AG12+AG15/2)*$C$6)</f>
        <v>0</v>
      </c>
      <c r="AH16" s="1293">
        <f>IF(AH13&gt;0,0,(AH12+AH15/2)*$C$6)</f>
        <v>0</v>
      </c>
      <c r="AI16" s="1293">
        <f>IF(AI13&gt;0,0,(AI12+AI15/2)*$C$6)</f>
        <v>0</v>
      </c>
      <c r="AJ16" s="1293">
        <f>IF(AJ13&gt;0,0,(AJ12+AJ15/2)*$C$6)</f>
        <v>0</v>
      </c>
      <c r="AK16" s="1293">
        <f>IF(AK13&gt;0,0,(AK12+AK15/2)*$C$6)</f>
        <v>0</v>
      </c>
      <c r="AL16" s="1293">
        <f>IF(AL13&gt;0,0,(AL12+AL15/2)*$C$6)</f>
        <v>0</v>
      </c>
      <c r="AM16" s="1293">
        <f>IF(AM13&gt;0,0,(AM12+AM15/2)*$C$6)</f>
        <v>0</v>
      </c>
      <c r="AN16" s="1293">
        <f>IF(AN13&gt;0,0,(AN12+AN15/2)*$C$6)</f>
        <v>0</v>
      </c>
      <c r="AO16" s="1293">
        <f>IF(AO13&gt;0,0,(AO12+AO15/2)*$C$6)</f>
        <v>0</v>
      </c>
      <c r="AP16" s="1293">
        <f>IF(AP13&gt;0,0,(AP12+AP15/2)*$C$6)</f>
        <v>0</v>
      </c>
    </row>
    <row r="17" s="417" customFormat="1" ht="15.65" customHeight="1">
      <c r="B17" t="s" s="1291">
        <v>1140</v>
      </c>
      <c r="C17" s="1293">
        <f>-C16</f>
        <v>0</v>
      </c>
      <c r="D17" s="1293">
        <f>-D16</f>
        <v>0</v>
      </c>
      <c r="E17" s="1293">
        <f>-E16</f>
        <v>0</v>
      </c>
      <c r="F17" s="1293">
        <f>-F16</f>
        <v>0</v>
      </c>
      <c r="G17" s="1293">
        <f>-G16</f>
        <v>0</v>
      </c>
      <c r="H17" s="1293">
        <f>-H16</f>
        <v>0</v>
      </c>
      <c r="I17" s="1293">
        <f>-I16</f>
        <v>0</v>
      </c>
      <c r="J17" s="1293">
        <f>-J16</f>
        <v>0</v>
      </c>
      <c r="K17" s="1293">
        <f>-K16</f>
        <v>0</v>
      </c>
      <c r="L17" s="1293">
        <f>-L16</f>
        <v>0</v>
      </c>
      <c r="M17" s="1293">
        <f>-M16</f>
        <v>0</v>
      </c>
      <c r="N17" s="1293">
        <f>-N16</f>
        <v>0</v>
      </c>
      <c r="O17" s="1293">
        <f>-O16</f>
        <v>0</v>
      </c>
      <c r="P17" s="1293">
        <f>-P16</f>
        <v>0</v>
      </c>
      <c r="Q17" s="1293">
        <f>-Q16</f>
        <v>0</v>
      </c>
      <c r="R17" s="1293">
        <f>-R16</f>
        <v>0</v>
      </c>
      <c r="S17" s="1293">
        <f>-S16</f>
        <v>0</v>
      </c>
      <c r="T17" s="1293">
        <f>-T16</f>
        <v>0</v>
      </c>
      <c r="U17" s="1293">
        <f>-U16</f>
        <v>0</v>
      </c>
      <c r="V17" s="1293">
        <f>-V16</f>
        <v>0</v>
      </c>
      <c r="W17" s="1293">
        <f>-W16</f>
        <v>0</v>
      </c>
      <c r="X17" s="1293">
        <f>-X16</f>
        <v>0</v>
      </c>
      <c r="Y17" s="1293">
        <f>-Y16</f>
        <v>0</v>
      </c>
      <c r="Z17" s="1293">
        <f>-Z16</f>
        <v>0</v>
      </c>
      <c r="AA17" s="1293">
        <f>-AA16</f>
        <v>0</v>
      </c>
      <c r="AB17" s="1293">
        <f>-AB16</f>
        <v>0</v>
      </c>
      <c r="AC17" s="1293">
        <f>-AC16</f>
        <v>0</v>
      </c>
      <c r="AD17" s="1293">
        <f>-AD16</f>
        <v>0</v>
      </c>
      <c r="AE17" s="1293">
        <f>-AE16</f>
        <v>0</v>
      </c>
      <c r="AF17" s="1293">
        <f>-AF16</f>
        <v>0</v>
      </c>
      <c r="AG17" s="1293">
        <f>-AG16</f>
        <v>0</v>
      </c>
      <c r="AH17" s="1293">
        <f>-AH16</f>
        <v>0</v>
      </c>
      <c r="AI17" s="1293">
        <f>-AI16</f>
        <v>0</v>
      </c>
      <c r="AJ17" s="1293">
        <f>-AJ16</f>
        <v>0</v>
      </c>
      <c r="AK17" s="1293">
        <f>-AK16</f>
        <v>0</v>
      </c>
      <c r="AL17" s="1293">
        <f>-AL16</f>
        <v>0</v>
      </c>
      <c r="AM17" s="1293">
        <f>-AM16</f>
        <v>0</v>
      </c>
      <c r="AN17" s="1293">
        <f>-AN16</f>
        <v>0</v>
      </c>
      <c r="AO17" s="1293">
        <f>-AO16</f>
        <v>0</v>
      </c>
      <c r="AP17" s="1293">
        <f>-AP16</f>
        <v>0</v>
      </c>
    </row>
    <row r="18" s="417" customFormat="1" ht="15.65" customHeight="1">
      <c r="B18" t="s" s="1291">
        <v>1141</v>
      </c>
      <c r="C18" s="1293">
        <f>SUM(C12:C17)</f>
        <v>0</v>
      </c>
      <c r="D18" s="1293">
        <f>SUM(D12:D17)</f>
        <v>0</v>
      </c>
      <c r="E18" s="1293">
        <f>SUM(E12:E17)</f>
        <v>0</v>
      </c>
      <c r="F18" s="1293">
        <f>SUM(F12:F17)</f>
        <v>0</v>
      </c>
      <c r="G18" s="1293">
        <f>SUM(G12:G17)</f>
        <v>0</v>
      </c>
      <c r="H18" s="1293">
        <f>SUM(H12:H17)</f>
        <v>0</v>
      </c>
      <c r="I18" s="1293">
        <f>SUM(I12:I17)</f>
        <v>0</v>
      </c>
      <c r="J18" s="1293">
        <f>SUM(J12:J17)</f>
        <v>0</v>
      </c>
      <c r="K18" s="1293">
        <f>SUM(K12:K17)</f>
        <v>0</v>
      </c>
      <c r="L18" s="1293">
        <f>SUM(L12:L17)</f>
        <v>0</v>
      </c>
      <c r="M18" s="1293">
        <f>SUM(M12:M17)</f>
        <v>0</v>
      </c>
      <c r="N18" s="1293">
        <f>SUM(N12:N17)</f>
        <v>0</v>
      </c>
      <c r="O18" s="1293">
        <f>SUM(O12:O17)</f>
        <v>0</v>
      </c>
      <c r="P18" s="1293">
        <f>SUM(P12:P17)</f>
        <v>0</v>
      </c>
      <c r="Q18" s="1293">
        <f>SUM(Q12:Q17)</f>
        <v>0</v>
      </c>
      <c r="R18" s="1293">
        <f>SUM(R12:R17)</f>
        <v>0</v>
      </c>
      <c r="S18" s="1293">
        <f>SUM(S12:S17)</f>
        <v>0</v>
      </c>
      <c r="T18" s="1293">
        <f>SUM(T12:T17)</f>
        <v>0</v>
      </c>
      <c r="U18" s="1293">
        <f>SUM(U12:U17)</f>
        <v>0</v>
      </c>
      <c r="V18" s="1293">
        <f>SUM(V12:V17)</f>
        <v>0</v>
      </c>
      <c r="W18" s="1293">
        <f>SUM(W12:W17)</f>
        <v>0</v>
      </c>
      <c r="X18" s="1293">
        <f>SUM(X12:X17)</f>
        <v>0</v>
      </c>
      <c r="Y18" s="1293">
        <f>SUM(Y12:Y17)</f>
        <v>0</v>
      </c>
      <c r="Z18" s="1293">
        <f>SUM(Z12:Z17)</f>
        <v>0</v>
      </c>
      <c r="AA18" s="1293">
        <f>SUM(AA12:AA17)</f>
        <v>0</v>
      </c>
      <c r="AB18" s="1293">
        <f>SUM(AB12:AB17)</f>
        <v>0</v>
      </c>
      <c r="AC18" s="1293">
        <f>SUM(AC12:AC17)</f>
        <v>0</v>
      </c>
      <c r="AD18" s="1293">
        <f>SUM(AD12:AD17)</f>
        <v>0</v>
      </c>
      <c r="AE18" s="1293">
        <f>SUM(AE12:AE17)</f>
        <v>0</v>
      </c>
      <c r="AF18" s="1293">
        <f>SUM(AF12:AF17)</f>
        <v>0</v>
      </c>
      <c r="AG18" s="1293">
        <f>SUM(AG12:AG17)</f>
        <v>0</v>
      </c>
      <c r="AH18" s="1293">
        <f>SUM(AH12:AH17)</f>
        <v>0</v>
      </c>
      <c r="AI18" s="1293">
        <f>SUM(AI12:AI17)</f>
        <v>0</v>
      </c>
      <c r="AJ18" s="1293">
        <f>SUM(AJ12:AJ17)</f>
        <v>0</v>
      </c>
      <c r="AK18" s="1293">
        <f>SUM(AK12:AK17)</f>
        <v>0</v>
      </c>
      <c r="AL18" s="1293">
        <f>SUM(AL12:AL17)</f>
        <v>0</v>
      </c>
      <c r="AM18" s="1293">
        <f>SUM(AM12:AM17)</f>
        <v>0</v>
      </c>
      <c r="AN18" s="1293">
        <f>SUM(AN12:AN17)</f>
        <v>0</v>
      </c>
      <c r="AO18" s="1293">
        <f>SUM(AO12:AO17)</f>
        <v>0</v>
      </c>
      <c r="AP18" s="1293">
        <f>SUM(AP12:AP17)</f>
        <v>0</v>
      </c>
    </row>
    <row r="20" s="417" customFormat="1" ht="15.65" customHeight="1">
      <c r="C20" s="1293">
        <f>C15+C17</f>
        <v>0</v>
      </c>
      <c r="D20" s="1293">
        <f>D15+D17</f>
        <v>0</v>
      </c>
      <c r="E20" s="1293">
        <f>E15+E17</f>
        <v>0</v>
      </c>
      <c r="F20" s="1293">
        <f>F15+F17</f>
        <v>0</v>
      </c>
      <c r="G20" s="1293">
        <f>G15+G17</f>
        <v>0</v>
      </c>
      <c r="H20" s="1293">
        <f>H15+H17</f>
        <v>0</v>
      </c>
      <c r="I20" s="1293">
        <f>I15+I17</f>
        <v>0</v>
      </c>
      <c r="J20" s="1293">
        <f>J15+J17</f>
        <v>0</v>
      </c>
      <c r="K20" s="1293">
        <f>K15+K17</f>
        <v>0</v>
      </c>
      <c r="L20" s="1293">
        <f>L15+L17</f>
        <v>0</v>
      </c>
      <c r="M20" s="1293">
        <f>M15+M17</f>
        <v>0</v>
      </c>
      <c r="N20" s="1293">
        <f>N15+N17</f>
        <v>0</v>
      </c>
      <c r="O20" s="1293">
        <f>O15+O17</f>
        <v>0</v>
      </c>
      <c r="P20" s="1293">
        <f>P15+P17</f>
        <v>0</v>
      </c>
      <c r="Q20" s="1293">
        <f>Q15+Q17</f>
        <v>0</v>
      </c>
      <c r="R20" s="1293">
        <f>R15+R17</f>
        <v>0</v>
      </c>
      <c r="S20" s="1293">
        <f>S15+S17</f>
        <v>0</v>
      </c>
      <c r="T20" s="1293">
        <f>T15+T17</f>
        <v>0</v>
      </c>
      <c r="U20" s="1293">
        <f>U15+U17</f>
        <v>0</v>
      </c>
      <c r="V20" s="1293">
        <f>V15+V17</f>
        <v>0</v>
      </c>
      <c r="W20" s="1293">
        <f>W15+W17</f>
        <v>0</v>
      </c>
      <c r="X20" s="1293">
        <f>X15+X17</f>
        <v>0</v>
      </c>
      <c r="Y20" s="1293">
        <f>Y15+Y17</f>
        <v>0</v>
      </c>
      <c r="Z20" s="1293">
        <f>Z15+Z17</f>
        <v>0</v>
      </c>
      <c r="AA20" s="1293">
        <f>AA15+AA17</f>
        <v>0</v>
      </c>
      <c r="AB20" s="1293">
        <f>AB15+AB17</f>
        <v>0</v>
      </c>
      <c r="AC20" s="1293">
        <f>AC15+AC17</f>
        <v>0</v>
      </c>
      <c r="AD20" s="1293">
        <f>AD15+AD17</f>
        <v>0</v>
      </c>
      <c r="AE20" s="1293">
        <f>AE15+AE17</f>
        <v>0</v>
      </c>
      <c r="AF20" s="1293">
        <f>AF15+AF17</f>
        <v>0</v>
      </c>
      <c r="AG20" s="1293">
        <f>AG15+AG17</f>
        <v>0</v>
      </c>
      <c r="AH20" s="1293">
        <f>AH15+AH17</f>
        <v>0</v>
      </c>
      <c r="AI20" s="1293">
        <f>AI15+AI17</f>
        <v>0</v>
      </c>
      <c r="AJ20" s="1293">
        <f>AJ15+AJ17</f>
        <v>0</v>
      </c>
      <c r="AK20" s="1293">
        <f>AK15+AK17</f>
        <v>0</v>
      </c>
      <c r="AL20" s="1293">
        <f>AL15+AL17</f>
        <v>0</v>
      </c>
      <c r="AM20" s="1293">
        <f>AM15+AM17</f>
        <v>0</v>
      </c>
      <c r="AN20" s="1293">
        <f>AN15+AN17</f>
        <v>0</v>
      </c>
      <c r="AO20" s="1293">
        <f>AO15+AO17</f>
        <v>0</v>
      </c>
      <c r="AP20" s="1293">
        <f>AP15+AP17</f>
        <v>0</v>
      </c>
    </row>
    <row r="21" s="417" customFormat="1" ht="15" customHeight="1">
      <c r="F21" s="1298"/>
    </row>
    <row r="23" s="417" customFormat="1" ht="15.65" customHeight="1">
      <c r="B23" t="s" s="1291">
        <v>1139</v>
      </c>
      <c r="C23" s="1293">
        <f>C15</f>
        <v>0</v>
      </c>
      <c r="D23" s="1293">
        <f>D15</f>
        <v>0</v>
      </c>
      <c r="E23" s="1293">
        <f>E15</f>
        <v>0</v>
      </c>
      <c r="F23" s="1293">
        <f>F15</f>
        <v>0</v>
      </c>
      <c r="G23" s="1293">
        <f>G15</f>
        <v>0</v>
      </c>
      <c r="H23" s="1293">
        <f>H15</f>
        <v>0</v>
      </c>
      <c r="I23" s="1293">
        <f>I15</f>
        <v>0</v>
      </c>
      <c r="J23" s="1293">
        <f>J15</f>
        <v>0</v>
      </c>
      <c r="K23" s="1293">
        <f>K15</f>
        <v>0</v>
      </c>
      <c r="L23" s="1293">
        <f>L15</f>
        <v>0</v>
      </c>
      <c r="M23" s="1293">
        <f>M15</f>
        <v>0</v>
      </c>
      <c r="N23" s="1293">
        <f>N15</f>
        <v>0</v>
      </c>
      <c r="O23" s="1293">
        <f>O15</f>
        <v>0</v>
      </c>
      <c r="P23" s="1293">
        <f>P15</f>
        <v>0</v>
      </c>
      <c r="Q23" s="1293">
        <f>Q15</f>
        <v>0</v>
      </c>
      <c r="R23" s="1293">
        <f>R15</f>
        <v>0</v>
      </c>
      <c r="S23" s="1293">
        <f>S15</f>
        <v>0</v>
      </c>
      <c r="T23" s="1293">
        <f>T15</f>
        <v>0</v>
      </c>
      <c r="U23" s="1293">
        <f>U15</f>
        <v>0</v>
      </c>
      <c r="V23" s="1293">
        <f>V15</f>
        <v>0</v>
      </c>
      <c r="W23" s="1293">
        <f>W15</f>
        <v>0</v>
      </c>
      <c r="X23" s="1293">
        <f>X15</f>
        <v>0</v>
      </c>
      <c r="Y23" s="1293">
        <f>Y15</f>
        <v>0</v>
      </c>
      <c r="Z23" s="1293">
        <f>Z15</f>
        <v>0</v>
      </c>
      <c r="AA23" s="1293">
        <f>AA15</f>
        <v>0</v>
      </c>
      <c r="AB23" s="1293">
        <f>AB15</f>
        <v>0</v>
      </c>
      <c r="AC23" s="1293">
        <f>AC15</f>
        <v>0</v>
      </c>
      <c r="AD23" s="1293">
        <f>AD15</f>
        <v>0</v>
      </c>
      <c r="AE23" s="1293">
        <f>AE15</f>
        <v>0</v>
      </c>
      <c r="AF23" s="1293">
        <f>AF15</f>
        <v>0</v>
      </c>
      <c r="AG23" s="1293">
        <f>AG15</f>
        <v>0</v>
      </c>
      <c r="AH23" s="1293">
        <f>AH15</f>
        <v>0</v>
      </c>
      <c r="AI23" s="1293">
        <f>AI15</f>
        <v>0</v>
      </c>
      <c r="AJ23" s="1293">
        <f>AJ15</f>
        <v>0</v>
      </c>
      <c r="AK23" s="1293">
        <f>AK15</f>
        <v>0</v>
      </c>
      <c r="AL23" s="1293">
        <f>AL15</f>
        <v>0</v>
      </c>
      <c r="AM23" s="1293">
        <f>AM15</f>
        <v>0</v>
      </c>
      <c r="AN23" s="1293">
        <f>AN15</f>
        <v>0</v>
      </c>
      <c r="AO23" s="1293">
        <f>AO15</f>
        <v>0</v>
      </c>
      <c r="AP23" s="1293">
        <f>AP15</f>
        <v>0</v>
      </c>
    </row>
    <row r="24" s="417" customFormat="1" ht="15.65" customHeight="1">
      <c r="C24" s="1293">
        <f>IF(C10&lt;=$C$4,C23,0)</f>
        <v>0</v>
      </c>
      <c r="D24" s="1293">
        <f>IF(D10&lt;=$C$4,D23,0)</f>
        <v>0</v>
      </c>
      <c r="E24" s="1293">
        <f>IF(E10&lt;=$C$4,E23,0)</f>
        <v>0</v>
      </c>
      <c r="F24" s="1293">
        <f>IF(F10&lt;=$C$4,F23,0)</f>
        <v>0</v>
      </c>
      <c r="G24" s="1293">
        <f>IF(G10&lt;=$C$4,G23,0)</f>
        <v>0</v>
      </c>
      <c r="H24" s="1293">
        <f>IF(H10&lt;=$C$4,H23,0)</f>
        <v>0</v>
      </c>
      <c r="I24" s="1293">
        <f>IF(I10&lt;=$C$4,I23,0)</f>
        <v>0</v>
      </c>
      <c r="J24" s="1293">
        <f>IF(J10&lt;=$C$4,J23,0)</f>
        <v>0</v>
      </c>
      <c r="K24" s="1293">
        <f>IF(K10&lt;=$C$4,K23,0)</f>
        <v>0</v>
      </c>
      <c r="L24" s="1293">
        <f>IF(L10&lt;=$C$4,L23,0)</f>
        <v>0</v>
      </c>
      <c r="M24" s="1293">
        <f>IF(M10&lt;=$C$4,M23,0)</f>
        <v>0</v>
      </c>
      <c r="N24" s="1293">
        <f>IF(N10&lt;=$C$4,N23,0)</f>
        <v>0</v>
      </c>
      <c r="O24" s="1293">
        <f>IF(O10&lt;=$C$4,O23,0)</f>
        <v>0</v>
      </c>
      <c r="P24" s="1293">
        <f>IF(P10&lt;=$C$4,P23,0)</f>
        <v>0</v>
      </c>
      <c r="Q24" s="1293">
        <f>IF(Q10&lt;=$C$4,Q23,0)</f>
        <v>0</v>
      </c>
      <c r="R24" s="1293">
        <f>IF(R10&lt;=$C$4,R23,0)</f>
        <v>0</v>
      </c>
      <c r="S24" s="1293">
        <f>IF(S10&lt;=$C$4,S23,0)</f>
        <v>0</v>
      </c>
      <c r="T24" s="1293">
        <f>IF(T10&lt;=$C$4,T23,0)</f>
        <v>0</v>
      </c>
      <c r="U24" s="1293">
        <f>IF(U10&lt;=$C$4,U23,0)</f>
        <v>0</v>
      </c>
      <c r="V24" s="1293">
        <f>IF(V10&lt;=$C$4,V23,0)</f>
        <v>0</v>
      </c>
      <c r="W24" s="1293">
        <f>IF(W10&lt;=$C$4,W23,0)</f>
        <v>0</v>
      </c>
      <c r="X24" s="1293">
        <f>IF(X10&lt;=$C$4,X23,0)</f>
        <v>0</v>
      </c>
      <c r="Y24" s="1293">
        <f>IF(Y10&lt;=$C$4,Y23,0)</f>
        <v>0</v>
      </c>
      <c r="Z24" s="1293">
        <f>IF(Z10&lt;=$C$4,Z23,0)</f>
        <v>0</v>
      </c>
      <c r="AA24" s="1293">
        <f>IF(AA10&lt;=$C$4,AA23,0)</f>
        <v>0</v>
      </c>
      <c r="AB24" s="1293">
        <f>IF(AB10&lt;=$C$4,AB23,0)</f>
        <v>0</v>
      </c>
      <c r="AC24" s="1293">
        <f>IF(AC10&lt;=$C$4,AC23,0)</f>
        <v>0</v>
      </c>
      <c r="AD24" s="1293">
        <f>IF(AD10&lt;=$C$4,AD23,0)</f>
        <v>0</v>
      </c>
      <c r="AE24" s="1293">
        <f>IF(AE10&lt;=$C$4,AE23,0)</f>
        <v>0</v>
      </c>
      <c r="AF24" s="1293">
        <f>IF(AF10&lt;=$C$4,AF23,0)</f>
        <v>0</v>
      </c>
      <c r="AG24" s="1293">
        <f>IF(AG10&lt;=$C$4,AG23,0)</f>
        <v>0</v>
      </c>
      <c r="AH24" s="1293">
        <f>IF(AH10&lt;=$C$4,AH23,0)</f>
        <v>0</v>
      </c>
      <c r="AI24" s="1293">
        <f>IF(AI10&lt;=$C$4,AI23,0)</f>
        <v>0</v>
      </c>
      <c r="AJ24" s="1293">
        <f>IF(AJ10&lt;=$C$4,AJ23,0)</f>
        <v>0</v>
      </c>
      <c r="AK24" s="1293">
        <f>IF(AK10&lt;=$C$4,AK23,0)</f>
        <v>0</v>
      </c>
      <c r="AL24" s="1293">
        <f>IF(AL10&lt;=$C$4,AL23,0)</f>
        <v>0</v>
      </c>
      <c r="AM24" s="1293">
        <f>IF(AM10&lt;=$C$4,AM23,0)</f>
        <v>0</v>
      </c>
      <c r="AN24" s="1293">
        <f>IF(AN10&lt;=$C$4,AN23,0)</f>
        <v>0</v>
      </c>
      <c r="AO24" s="1293">
        <f>IF(AO10&lt;=$C$4,AO23,0)</f>
        <v>0</v>
      </c>
      <c r="AP24" s="1293">
        <f>IF(AP10&lt;=$C$4,AP23,0)</f>
        <v>0</v>
      </c>
    </row>
    <row r="26" s="417" customFormat="1" ht="15.65" customHeight="1">
      <c r="B26" t="s" s="1291">
        <v>1022</v>
      </c>
      <c r="C26" s="1293">
        <f>C17</f>
        <v>0</v>
      </c>
      <c r="D26" s="1293">
        <f>D17</f>
        <v>0</v>
      </c>
      <c r="E26" s="1293">
        <f>E17</f>
        <v>0</v>
      </c>
      <c r="F26" s="1293">
        <f>F17</f>
        <v>0</v>
      </c>
      <c r="G26" s="1293">
        <f>G17</f>
        <v>0</v>
      </c>
      <c r="H26" s="1293">
        <f>H17</f>
        <v>0</v>
      </c>
      <c r="I26" s="1293">
        <f>I17</f>
        <v>0</v>
      </c>
      <c r="J26" s="1293">
        <f>J17</f>
        <v>0</v>
      </c>
      <c r="K26" s="1293">
        <f>K17</f>
        <v>0</v>
      </c>
      <c r="L26" s="1293">
        <f>L17</f>
        <v>0</v>
      </c>
      <c r="M26" s="1293">
        <f>M17</f>
        <v>0</v>
      </c>
      <c r="N26" s="1293">
        <f>N17</f>
        <v>0</v>
      </c>
      <c r="O26" s="1293">
        <f>O17</f>
        <v>0</v>
      </c>
      <c r="P26" s="1293">
        <f>P17</f>
        <v>0</v>
      </c>
      <c r="Q26" s="1293">
        <f>Q17</f>
        <v>0</v>
      </c>
      <c r="R26" s="1293">
        <f>R17</f>
        <v>0</v>
      </c>
      <c r="S26" s="1293">
        <f>S17</f>
        <v>0</v>
      </c>
      <c r="T26" s="1293">
        <f>T17</f>
        <v>0</v>
      </c>
      <c r="U26" s="1293">
        <f>U17</f>
        <v>0</v>
      </c>
      <c r="V26" s="1293">
        <f>V17</f>
        <v>0</v>
      </c>
      <c r="W26" s="1293">
        <f>W17</f>
        <v>0</v>
      </c>
      <c r="X26" s="1293">
        <f>X17</f>
        <v>0</v>
      </c>
      <c r="Y26" s="1293">
        <f>Y17</f>
        <v>0</v>
      </c>
      <c r="Z26" s="1293">
        <f>Z17</f>
        <v>0</v>
      </c>
      <c r="AA26" s="1293">
        <f>AA17</f>
        <v>0</v>
      </c>
      <c r="AB26" s="1293">
        <f>AB17</f>
        <v>0</v>
      </c>
      <c r="AC26" s="1293">
        <f>AC17</f>
        <v>0</v>
      </c>
      <c r="AD26" s="1293">
        <f>AD17</f>
        <v>0</v>
      </c>
      <c r="AE26" s="1293">
        <f>AE17</f>
        <v>0</v>
      </c>
      <c r="AF26" s="1293">
        <f>AF17</f>
        <v>0</v>
      </c>
      <c r="AG26" s="1293">
        <f>AG17</f>
        <v>0</v>
      </c>
      <c r="AH26" s="1293">
        <f>AH17</f>
        <v>0</v>
      </c>
      <c r="AI26" s="1293">
        <f>AI17</f>
        <v>0</v>
      </c>
      <c r="AJ26" s="1293">
        <f>AJ17</f>
        <v>0</v>
      </c>
      <c r="AK26" s="1293">
        <f>AK17</f>
        <v>0</v>
      </c>
      <c r="AL26" s="1293">
        <f>AL17</f>
        <v>0</v>
      </c>
      <c r="AM26" s="1293">
        <f>AM17</f>
        <v>0</v>
      </c>
      <c r="AN26" s="1293">
        <f>AN17</f>
        <v>0</v>
      </c>
      <c r="AO26" s="1293">
        <f>AO17</f>
        <v>0</v>
      </c>
      <c r="AP26" s="1293">
        <f>AP17</f>
        <v>0</v>
      </c>
    </row>
    <row r="27" s="417" customFormat="1" ht="15.65" customHeight="1">
      <c r="C27" s="1293">
        <f>IF(C10&lt;=$C$4,C26,0)</f>
        <v>0</v>
      </c>
      <c r="D27" s="1293">
        <f>IF(D10&lt;=$C$4,D26,0)</f>
        <v>0</v>
      </c>
      <c r="E27" s="1293">
        <f>IF(E10&lt;=$C$4,E26,0)</f>
        <v>0</v>
      </c>
      <c r="F27" s="1293">
        <f>IF(F10&lt;=$C$4,F26,0)</f>
        <v>0</v>
      </c>
      <c r="G27" s="1293">
        <f>IF(G10&lt;=$C$4,G26,0)</f>
        <v>0</v>
      </c>
      <c r="H27" s="1293">
        <f>IF(H10&lt;=$C$4,H26,0)</f>
        <v>0</v>
      </c>
      <c r="I27" s="1293">
        <f>IF(I10&lt;=$C$4,I26,0)</f>
        <v>0</v>
      </c>
      <c r="J27" s="1293">
        <f>IF(J10&lt;=$C$4,J26,0)</f>
        <v>0</v>
      </c>
      <c r="K27" s="1293">
        <f>IF(K10&lt;=$C$4,K26,0)</f>
        <v>0</v>
      </c>
      <c r="L27" s="1293">
        <f>IF(L10&lt;=$C$4,L26,0)</f>
        <v>0</v>
      </c>
      <c r="M27" s="1293">
        <f>IF(M10&lt;=$C$4,M26,0)</f>
        <v>0</v>
      </c>
      <c r="N27" s="1293">
        <f>IF(N10&lt;=$C$4,N26,0)</f>
        <v>0</v>
      </c>
      <c r="O27" s="1293">
        <f>IF(O10&lt;=$C$4,O26,0)</f>
        <v>0</v>
      </c>
      <c r="P27" s="1293">
        <f>IF(P10&lt;=$C$4,P26,0)</f>
        <v>0</v>
      </c>
      <c r="Q27" s="1293">
        <f>IF(Q10&lt;=$C$4,Q26,0)</f>
        <v>0</v>
      </c>
      <c r="R27" s="1293">
        <f>IF(R10&lt;=$C$4,R26,0)</f>
        <v>0</v>
      </c>
      <c r="S27" s="1293">
        <f>IF(S10&lt;=$C$4,S26,0)</f>
        <v>0</v>
      </c>
      <c r="T27" s="1293">
        <f>IF(T10&lt;=$C$4,T26,0)</f>
        <v>0</v>
      </c>
      <c r="U27" s="1293">
        <f>IF(U10&lt;=$C$4,U26,0)</f>
        <v>0</v>
      </c>
      <c r="V27" s="1293">
        <f>IF(V10&lt;=$C$4,V26,0)</f>
        <v>0</v>
      </c>
      <c r="W27" s="1293">
        <f>IF(W10&lt;=$C$4,W26,0)</f>
        <v>0</v>
      </c>
      <c r="X27" s="1293">
        <f>IF(X10&lt;=$C$4,X26,0)</f>
        <v>0</v>
      </c>
      <c r="Y27" s="1293">
        <f>IF(Y10&lt;=$C$4,Y26,0)</f>
        <v>0</v>
      </c>
      <c r="Z27" s="1293">
        <f>IF(Z10&lt;=$C$4,Z26,0)</f>
        <v>0</v>
      </c>
      <c r="AA27" s="1293">
        <f>IF(AA10&lt;=$C$4,AA26,0)</f>
        <v>0</v>
      </c>
      <c r="AB27" s="1293">
        <f>IF(AB10&lt;=$C$4,AB26,0)</f>
        <v>0</v>
      </c>
      <c r="AC27" s="1293">
        <f>IF(AC10&lt;=$C$4,AC26,0)</f>
        <v>0</v>
      </c>
      <c r="AD27" s="1293">
        <f>IF(AD10&lt;=$C$4,AD26,0)</f>
        <v>0</v>
      </c>
      <c r="AE27" s="1293">
        <f>IF(AE10&lt;=$C$4,AE26,0)</f>
        <v>0</v>
      </c>
      <c r="AF27" s="1293">
        <f>IF(AF10&lt;=$C$4,AF26,0)</f>
        <v>0</v>
      </c>
      <c r="AG27" s="1293">
        <f>IF(AG10&lt;=$C$4,AG26,0)</f>
        <v>0</v>
      </c>
      <c r="AH27" s="1293">
        <f>IF(AH10&lt;=$C$4,AH26,0)</f>
        <v>0</v>
      </c>
      <c r="AI27" s="1293">
        <f>IF(AI10&lt;=$C$4,AI26,0)</f>
        <v>0</v>
      </c>
      <c r="AJ27" s="1293">
        <f>IF(AJ10&lt;=$C$4,AJ26,0)</f>
        <v>0</v>
      </c>
      <c r="AK27" s="1293">
        <f>IF(AK10&lt;=$C$4,AK26,0)</f>
        <v>0</v>
      </c>
      <c r="AL27" s="1293">
        <f>IF(AL10&lt;=$C$4,AL26,0)</f>
        <v>0</v>
      </c>
      <c r="AM27" s="1293">
        <f>IF(AM10&lt;=$C$4,AM26,0)</f>
        <v>0</v>
      </c>
      <c r="AN27" s="1293">
        <f>IF(AN10&lt;=$C$4,AN26,0)</f>
        <v>0</v>
      </c>
      <c r="AO27" s="1293">
        <f>IF(AO10&lt;=$C$4,AO26,0)</f>
        <v>0</v>
      </c>
      <c r="AP27" s="1293">
        <f>IF(AP10&lt;=$C$4,AP26,0)</f>
        <v>0</v>
      </c>
    </row>
    <row r="397" s="417" customFormat="1" ht="15.65" customHeight="1">
      <c r="B397" s="1293">
        <v>41416</v>
      </c>
    </row>
    <row r="399" s="417" customFormat="1" ht="15.65" customHeight="1">
      <c r="A399" s="1293">
        <v>41421</v>
      </c>
    </row>
    <row r="400" s="417" customFormat="1" ht="15.65" customHeight="1">
      <c r="A400" s="1293">
        <v>42799</v>
      </c>
      <c r="B400" s="1293">
        <v>41417</v>
      </c>
    </row>
  </sheetData>
  <pageMargins left="0.75" right="0.75" top="1" bottom="1" header="0.5" footer="0.5"/>
  <pageSetup firstPageNumber="1" fitToHeight="1" fitToWidth="1" scale="100" useFirstPageNumber="0" orientation="portrait" pageOrder="downThenOver"/>
  <headerFooter>
    <oddFooter>&amp;L&amp;"Helvetica,Regular"&amp;12&amp;K000000	&amp;P</oddFooter>
  </headerFooter>
</worksheet>
</file>

<file path=xl/worksheets/sheet4.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256" width="10" customWidth="1"/>
  </cols>
  <sheetData/>
  <pageMargins left="0.75" right="0.75" top="1" bottom="1" header="0.5" footer="0.5"/>
  <pageSetup firstPageNumber="1" fitToHeight="1" fitToWidth="1" scale="116" useFirstPageNumber="0" orientation="portrait" pageOrder="downThenOver"/>
  <headerFooter>
    <oddFooter>&amp;L&amp;"Helvetica,Regular"&amp;12&amp;K000000	&amp;P</oddFooter>
  </headerFooter>
  <drawing r:id="rId1"/>
  <legacyDrawing r:id="rId2"/>
</worksheet>
</file>

<file path=xl/worksheets/sheet5.xml><?xml version="1.0" encoding="utf-8"?>
<worksheet xmlns:r="http://schemas.openxmlformats.org/officeDocument/2006/relationships" xmlns="http://schemas.openxmlformats.org/spreadsheetml/2006/main">
  <sheetPr>
    <pageSetUpPr fitToPage="1"/>
  </sheetPr>
  <dimension ref="B2:F11"/>
  <sheetViews>
    <sheetView workbookViewId="0" showGridLines="0" defaultGridColor="1">
      <pane topLeftCell="C3" xSplit="2" ySplit="2" activePane="bottomRight" state="frozenSplit"/>
    </sheetView>
  </sheetViews>
  <sheetFormatPr defaultColWidth="12.25" defaultRowHeight="18" customHeight="1" outlineLevelRow="0" outlineLevelCol="0"/>
  <cols>
    <col min="1" max="1" width="0.25" style="194" customWidth="1"/>
    <col min="2" max="2" width="12.25" style="194" customWidth="1"/>
    <col min="3" max="3" width="12.25" style="194" customWidth="1"/>
    <col min="4" max="4" width="12.25" style="194" customWidth="1"/>
    <col min="5" max="5" width="12.25" style="194" customWidth="1"/>
    <col min="6" max="6" width="12.25" style="194" customWidth="1"/>
    <col min="7" max="256" width="12.25" style="194" customWidth="1"/>
  </cols>
  <sheetData>
    <row r="1" ht="2" customHeight="1"/>
    <row r="2" ht="20.55" customHeight="1">
      <c r="B2" s="195"/>
      <c r="C2" s="195"/>
      <c r="D2" s="195"/>
      <c r="E2" s="195"/>
      <c r="F2" s="195"/>
    </row>
    <row r="3" ht="20.55" customHeight="1">
      <c r="B3" s="196"/>
      <c r="C3" s="197"/>
      <c r="D3" s="197"/>
      <c r="E3" s="197"/>
      <c r="F3" s="197"/>
    </row>
    <row r="4" ht="20.35" customHeight="1">
      <c r="B4" s="196"/>
      <c r="C4" s="197"/>
      <c r="D4" s="197"/>
      <c r="E4" s="197"/>
      <c r="F4" s="197"/>
    </row>
    <row r="5" ht="20.35" customHeight="1">
      <c r="B5" s="196"/>
      <c r="C5" s="197"/>
      <c r="D5" s="197"/>
      <c r="E5" s="197"/>
      <c r="F5" s="197"/>
    </row>
    <row r="6" ht="20.35" customHeight="1">
      <c r="B6" s="196"/>
      <c r="C6" s="197"/>
      <c r="D6" s="197"/>
      <c r="E6" s="197"/>
      <c r="F6" s="197"/>
    </row>
    <row r="7" ht="20.35" customHeight="1">
      <c r="B7" s="196"/>
      <c r="C7" s="197"/>
      <c r="D7" s="197"/>
      <c r="E7" s="197"/>
      <c r="F7" s="197"/>
    </row>
    <row r="8" ht="20.35" customHeight="1">
      <c r="B8" s="196"/>
      <c r="C8" s="197"/>
      <c r="D8" s="197"/>
      <c r="E8" s="197"/>
      <c r="F8" s="197"/>
    </row>
    <row r="9" ht="20.35" customHeight="1">
      <c r="B9" s="196"/>
      <c r="C9" s="197"/>
      <c r="D9" s="197"/>
      <c r="E9" s="197"/>
      <c r="F9" s="197"/>
    </row>
    <row r="10" ht="20.35" customHeight="1">
      <c r="B10" s="196"/>
      <c r="C10" s="197"/>
      <c r="D10" s="197"/>
      <c r="E10" s="197"/>
      <c r="F10" s="197"/>
    </row>
    <row r="11" ht="20.35" customHeight="1">
      <c r="B11" s="196"/>
      <c r="C11" s="197"/>
      <c r="D11" s="197"/>
      <c r="E11" s="197"/>
      <c r="F11" s="197"/>
    </row>
  </sheetData>
  <pageMargins left="0.75" right="0.75" top="1" bottom="1" header="0.5" footer="0.5"/>
  <pageSetup firstPageNumber="1" fitToHeight="1" fitToWidth="1" scale="100" useFirstPageNumber="0" orientation="portrait" pageOrder="downThenOver"/>
  <headerFooter>
    <oddFooter>&amp;L&amp;"Helvetica,Regular"&amp;12&amp;K000000	&amp;P</oddFooter>
  </headerFooter>
</worksheet>
</file>

<file path=xl/worksheets/sheet6.xml><?xml version="1.0" encoding="utf-8"?>
<worksheet xmlns:r="http://schemas.openxmlformats.org/officeDocument/2006/relationships" xmlns="http://schemas.openxmlformats.org/spreadsheetml/2006/main">
  <sheetPr>
    <pageSetUpPr fitToPage="1"/>
  </sheetPr>
  <dimension ref="B2:F11"/>
  <sheetViews>
    <sheetView workbookViewId="0" showGridLines="0" defaultGridColor="1">
      <pane topLeftCell="C3" xSplit="2" ySplit="2" activePane="bottomRight" state="frozenSplit"/>
    </sheetView>
  </sheetViews>
  <sheetFormatPr defaultColWidth="12.25" defaultRowHeight="18" customHeight="1" outlineLevelRow="0" outlineLevelCol="0"/>
  <cols>
    <col min="1" max="1" width="0.25" style="198" customWidth="1"/>
    <col min="2" max="2" width="12.25" style="198" customWidth="1"/>
    <col min="3" max="3" width="12.25" style="198" customWidth="1"/>
    <col min="4" max="4" width="12.25" style="198" customWidth="1"/>
    <col min="5" max="5" width="12.25" style="198" customWidth="1"/>
    <col min="6" max="6" width="12.25" style="198" customWidth="1"/>
    <col min="7" max="256" width="12.25" style="198" customWidth="1"/>
  </cols>
  <sheetData>
    <row r="1" ht="2" customHeight="1"/>
    <row r="2" ht="20.55" customHeight="1">
      <c r="B2" s="195"/>
      <c r="C2" s="195"/>
      <c r="D2" s="195"/>
      <c r="E2" s="195"/>
      <c r="F2" s="195"/>
    </row>
    <row r="3" ht="20.55" customHeight="1">
      <c r="B3" s="196"/>
      <c r="C3" s="197"/>
      <c r="D3" s="197"/>
      <c r="E3" s="197"/>
      <c r="F3" s="197"/>
    </row>
    <row r="4" ht="20.35" customHeight="1">
      <c r="B4" s="196"/>
      <c r="C4" s="197"/>
      <c r="D4" s="197"/>
      <c r="E4" s="197"/>
      <c r="F4" s="197"/>
    </row>
    <row r="5" ht="20.35" customHeight="1">
      <c r="B5" s="196"/>
      <c r="C5" s="197"/>
      <c r="D5" s="197"/>
      <c r="E5" s="197"/>
      <c r="F5" s="197"/>
    </row>
    <row r="6" ht="20.35" customHeight="1">
      <c r="B6" s="196"/>
      <c r="C6" s="197"/>
      <c r="D6" s="197"/>
      <c r="E6" s="197"/>
      <c r="F6" s="197"/>
    </row>
    <row r="7" ht="20.35" customHeight="1">
      <c r="B7" s="196"/>
      <c r="C7" s="197"/>
      <c r="D7" s="197"/>
      <c r="E7" s="197"/>
      <c r="F7" s="197"/>
    </row>
    <row r="8" ht="20.35" customHeight="1">
      <c r="B8" s="196"/>
      <c r="C8" s="197"/>
      <c r="D8" s="197"/>
      <c r="E8" s="197"/>
      <c r="F8" s="197"/>
    </row>
    <row r="9" ht="20.35" customHeight="1">
      <c r="B9" s="196"/>
      <c r="C9" s="197"/>
      <c r="D9" s="197"/>
      <c r="E9" s="197"/>
      <c r="F9" s="197"/>
    </row>
    <row r="10" ht="20.35" customHeight="1">
      <c r="B10" s="196"/>
      <c r="C10" s="197"/>
      <c r="D10" s="197"/>
      <c r="E10" s="197"/>
      <c r="F10" s="197"/>
    </row>
    <row r="11" ht="20.35" customHeight="1">
      <c r="B11" s="196"/>
      <c r="C11" s="197"/>
      <c r="D11" s="197"/>
      <c r="E11" s="197"/>
      <c r="F11" s="197"/>
    </row>
  </sheetData>
  <pageMargins left="0.75" right="0.75" top="1" bottom="1" header="0.5" footer="0.5"/>
  <pageSetup firstPageNumber="1" fitToHeight="1" fitToWidth="1" scale="100" useFirstPageNumber="0" orientation="portrait" pageOrder="downThenOver"/>
  <headerFooter>
    <oddFooter>&amp;L&amp;"Helvetica,Regular"&amp;12&amp;K000000	&amp;P</oddFooter>
  </headerFooter>
</worksheet>
</file>

<file path=xl/worksheets/sheet7.xml><?xml version="1.0" encoding="utf-8"?>
<worksheet xmlns:r="http://schemas.openxmlformats.org/officeDocument/2006/relationships" xmlns="http://schemas.openxmlformats.org/spreadsheetml/2006/main">
  <sheetPr>
    <pageSetUpPr fitToPage="1"/>
  </sheetPr>
  <dimension ref="A1:AZ597"/>
  <sheetViews>
    <sheetView workbookViewId="0" showGridLines="0" defaultGridColor="1"/>
  </sheetViews>
  <sheetFormatPr defaultColWidth="6.625" defaultRowHeight="0" customHeight="1" outlineLevelRow="0" outlineLevelCol="0"/>
  <cols>
    <col min="1" max="1" width="1" style="199" customWidth="1"/>
    <col min="2" max="2" width="8.375" style="199" customWidth="1"/>
    <col min="3" max="3" width="10.125" style="199" customWidth="1"/>
    <col min="4" max="4" width="48.625" style="199" customWidth="1"/>
    <col min="5" max="5" width="3.625" style="199" customWidth="1"/>
    <col min="6" max="6" width="15.375" style="199" customWidth="1"/>
    <col min="7" max="7" hidden="1" width="6.625" style="199" customWidth="1"/>
    <col min="8" max="8" width="12.625" style="199" customWidth="1"/>
    <col min="9" max="9" width="11" style="199" customWidth="1"/>
    <col min="10" max="10" width="11" style="199" customWidth="1"/>
    <col min="11" max="11" width="10.125" style="199" customWidth="1"/>
    <col min="12" max="12" width="10.25" style="199" customWidth="1"/>
    <col min="13" max="13" width="13.25" style="199" customWidth="1"/>
    <col min="14" max="14" width="12.75" style="199" customWidth="1"/>
    <col min="15" max="15" width="12.75" style="199" customWidth="1"/>
    <col min="16" max="16" width="10.875" style="199" customWidth="1"/>
    <col min="17" max="17" width="10.875" style="199" customWidth="1"/>
    <col min="18" max="18" width="10.875" style="199" customWidth="1"/>
    <col min="19" max="19" width="9.625" style="199" customWidth="1"/>
    <col min="20" max="20" width="9.625" style="199" customWidth="1"/>
    <col min="21" max="21" width="9.625" style="199" customWidth="1"/>
    <col min="22" max="22" width="9.625" style="199" customWidth="1"/>
    <col min="23" max="23" width="9.625" style="199" customWidth="1"/>
    <col min="24" max="24" width="9.625" style="199" customWidth="1"/>
    <col min="25" max="25" width="9.625" style="199" customWidth="1"/>
    <col min="26" max="26" width="9.625" style="199" customWidth="1"/>
    <col min="27" max="27" width="9.625" style="199" customWidth="1"/>
    <col min="28" max="28" width="9.625" style="199" customWidth="1"/>
    <col min="29" max="29" width="9.625" style="199" customWidth="1"/>
    <col min="30" max="30" width="9.625" style="199" customWidth="1"/>
    <col min="31" max="31" width="9.625" style="199" customWidth="1"/>
    <col min="32" max="32" width="9.625" style="199" customWidth="1"/>
    <col min="33" max="33" width="9.625" style="199" customWidth="1"/>
    <col min="34" max="34" width="9.375" style="199" customWidth="1"/>
    <col min="35" max="35" width="10.5" style="199" customWidth="1"/>
    <col min="36" max="36" width="9.625" style="199" customWidth="1"/>
    <col min="37" max="37" width="9.625" style="199" customWidth="1"/>
    <col min="38" max="38" width="9.625" style="199" customWidth="1"/>
    <col min="39" max="39" width="9.625" style="199" customWidth="1"/>
    <col min="40" max="40" width="9.625" style="199" customWidth="1"/>
    <col min="41" max="41" width="9.625" style="199" customWidth="1"/>
    <col min="42" max="42" width="9.625" style="199" customWidth="1"/>
    <col min="43" max="43" width="9.625" style="199" customWidth="1"/>
    <col min="44" max="44" width="9.625" style="199" customWidth="1"/>
    <col min="45" max="45" width="9.625" style="199" customWidth="1"/>
    <col min="46" max="46" width="9.625" style="199" customWidth="1"/>
    <col min="47" max="47" width="9.375" style="199" customWidth="1"/>
    <col min="48" max="48" width="16.875" style="199" customWidth="1"/>
    <col min="49" max="49" hidden="1" width="6.625" style="199" customWidth="1"/>
    <col min="50" max="50" hidden="1" width="6.625" style="199" customWidth="1"/>
    <col min="51" max="51" hidden="1" width="6.625" style="199" customWidth="1"/>
    <col min="52" max="52" hidden="1" width="6.625" style="199" customWidth="1"/>
    <col min="53" max="256" width="6.625" style="199" customWidth="1"/>
  </cols>
  <sheetData>
    <row r="1" ht="15.75" customHeight="1">
      <c r="A1" s="200"/>
      <c r="B1" s="201"/>
      <c r="C1" t="s" s="202">
        <v>567</v>
      </c>
      <c r="D1" s="203"/>
      <c r="E1" s="203"/>
      <c r="F1" s="203"/>
      <c r="G1" s="203"/>
      <c r="H1" s="203"/>
      <c r="I1" s="203"/>
      <c r="J1" s="48"/>
      <c r="K1" s="10"/>
      <c r="L1" s="204"/>
      <c r="M1" s="204"/>
      <c r="N1" s="204"/>
      <c r="O1" s="204"/>
      <c r="P1" s="204"/>
      <c r="Q1" s="204"/>
      <c r="R1" s="204"/>
      <c r="S1" s="204"/>
      <c r="T1" s="204"/>
      <c r="U1" s="204"/>
      <c r="V1" s="204"/>
      <c r="W1" s="204"/>
      <c r="X1" s="205"/>
      <c r="Y1" s="204"/>
      <c r="Z1" s="204"/>
      <c r="AA1" s="204"/>
      <c r="AB1" s="204"/>
      <c r="AC1" s="204"/>
      <c r="AD1" s="204"/>
      <c r="AE1" s="204"/>
      <c r="AF1" s="204"/>
      <c r="AG1" s="204"/>
      <c r="AH1" s="204"/>
      <c r="AI1" s="204"/>
      <c r="AJ1" s="204"/>
      <c r="AK1" s="205"/>
      <c r="AL1" s="203"/>
      <c r="AM1" s="203"/>
      <c r="AN1" s="203"/>
      <c r="AO1" s="203"/>
      <c r="AP1" s="203"/>
      <c r="AQ1" s="203"/>
      <c r="AR1" s="203"/>
      <c r="AS1" s="203"/>
      <c r="AT1" s="203"/>
      <c r="AU1" s="203"/>
      <c r="AV1" s="203"/>
      <c r="AW1" s="201"/>
      <c r="AX1" s="201"/>
      <c r="AY1" s="201"/>
      <c r="AZ1" s="206"/>
    </row>
    <row r="2" ht="12.75" customHeight="1">
      <c r="A2" s="207"/>
      <c r="B2" s="208"/>
      <c r="C2" s="209"/>
      <c r="D2" s="210"/>
      <c r="E2" s="208"/>
      <c r="F2" s="208"/>
      <c r="G2" s="208"/>
      <c r="H2" s="208"/>
      <c r="I2" s="208"/>
      <c r="J2" s="56"/>
      <c r="K2" s="12"/>
      <c r="L2" s="208"/>
      <c r="M2" s="208"/>
      <c r="N2" s="56"/>
      <c r="O2" s="10"/>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11"/>
    </row>
    <row r="3" ht="12.75" customHeight="1">
      <c r="A3" s="207"/>
      <c r="B3" s="212"/>
      <c r="C3" t="s" s="213">
        <v>56</v>
      </c>
      <c r="D3" s="214"/>
      <c r="E3" s="215"/>
      <c r="F3" s="56"/>
      <c r="G3" t="s" s="216">
        <v>568</v>
      </c>
      <c r="H3" s="208"/>
      <c r="I3" s="208"/>
      <c r="J3" s="56"/>
      <c r="K3" s="56"/>
      <c r="L3" s="208"/>
      <c r="M3" s="208"/>
      <c r="N3" s="56"/>
      <c r="O3" s="12"/>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11"/>
    </row>
    <row r="4" ht="15" customHeight="1">
      <c r="A4" s="207"/>
      <c r="B4" s="212"/>
      <c r="C4" t="s" s="217">
        <v>58</v>
      </c>
      <c r="D4" s="218"/>
      <c r="E4" s="219"/>
      <c r="F4" s="56"/>
      <c r="G4" t="s" s="220">
        <v>569</v>
      </c>
      <c r="H4" s="208"/>
      <c r="I4" s="208"/>
      <c r="J4" s="67"/>
      <c r="K4" s="56"/>
      <c r="L4" s="208"/>
      <c r="M4" s="208"/>
      <c r="N4" s="56"/>
      <c r="O4" s="56"/>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11"/>
    </row>
    <row r="5" ht="12.75" customHeight="1">
      <c r="A5" s="207"/>
      <c r="B5" s="212"/>
      <c r="C5" t="s" s="221">
        <v>570</v>
      </c>
      <c r="D5" s="222"/>
      <c r="E5" s="219"/>
      <c r="F5" s="56"/>
      <c r="G5" s="56"/>
      <c r="H5" s="208"/>
      <c r="I5" s="208"/>
      <c r="J5" s="208"/>
      <c r="K5" s="208"/>
      <c r="L5" s="208"/>
      <c r="M5" s="208"/>
      <c r="N5" s="67"/>
      <c r="O5" s="56"/>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11"/>
    </row>
    <row r="6" ht="15" customHeight="1">
      <c r="A6" s="207"/>
      <c r="B6" s="212"/>
      <c r="C6" t="s" s="74">
        <v>571</v>
      </c>
      <c r="D6" s="76"/>
      <c r="E6" s="116"/>
      <c r="F6" s="77"/>
      <c r="G6" s="56"/>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11"/>
    </row>
    <row r="7" ht="17.25" customHeight="1">
      <c r="A7" s="223"/>
      <c r="B7" s="113"/>
      <c r="C7" s="224"/>
      <c r="D7" s="225"/>
      <c r="E7" s="226"/>
      <c r="F7" s="227"/>
      <c r="G7" s="227"/>
      <c r="H7" s="228"/>
      <c r="I7" s="229"/>
      <c r="J7" s="113"/>
      <c r="K7" s="229"/>
      <c r="L7" s="229"/>
      <c r="M7" s="229"/>
      <c r="N7" s="229"/>
      <c r="O7" s="229"/>
      <c r="P7" s="229"/>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11"/>
    </row>
    <row r="8" ht="42.75" customHeight="1">
      <c r="A8" s="223"/>
      <c r="B8" s="113"/>
      <c r="C8" s="230"/>
      <c r="D8" t="s" s="231">
        <v>76</v>
      </c>
      <c r="E8" s="232"/>
      <c r="F8" t="s" s="233">
        <f>'Project Information'!C10</f>
        <v>572</v>
      </c>
      <c r="G8" s="234"/>
      <c r="H8" s="235"/>
      <c r="I8" s="236"/>
      <c r="J8" s="56"/>
      <c r="K8" s="237"/>
      <c r="L8" s="56"/>
      <c r="M8" s="56"/>
      <c r="N8" s="56"/>
      <c r="O8" s="56"/>
      <c r="P8" s="56"/>
      <c r="Q8" s="56"/>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38"/>
      <c r="AW8" s="208"/>
      <c r="AX8" s="208"/>
      <c r="AY8" s="208"/>
      <c r="AZ8" s="211"/>
    </row>
    <row r="9" ht="30" customHeight="1">
      <c r="A9" s="239"/>
      <c r="B9" s="113"/>
      <c r="C9" s="230"/>
      <c r="D9" s="232"/>
      <c r="E9" s="232"/>
      <c r="F9" s="234"/>
      <c r="G9" s="234"/>
      <c r="H9" s="235"/>
      <c r="I9" s="236"/>
      <c r="J9" s="56"/>
      <c r="K9" s="56"/>
      <c r="L9" s="240"/>
      <c r="M9" s="56"/>
      <c r="N9" s="56"/>
      <c r="O9" s="56"/>
      <c r="P9" s="56"/>
      <c r="Q9" s="56"/>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38"/>
      <c r="AW9" s="208"/>
      <c r="AX9" s="208"/>
      <c r="AY9" s="208"/>
      <c r="AZ9" s="211"/>
    </row>
    <row r="10" ht="12.75" customHeight="1">
      <c r="A10" s="241"/>
      <c r="B10" s="242"/>
      <c r="C10" s="230"/>
      <c r="D10" s="243"/>
      <c r="E10" s="243"/>
      <c r="F10" s="244"/>
      <c r="G10" s="244"/>
      <c r="H10" s="244"/>
      <c r="I10" s="245"/>
      <c r="J10" s="56"/>
      <c r="K10" s="56"/>
      <c r="L10" s="240"/>
      <c r="M10" s="56"/>
      <c r="N10" s="56"/>
      <c r="O10" s="56"/>
      <c r="P10" s="56"/>
      <c r="Q10" s="56"/>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38"/>
      <c r="AW10" s="208"/>
      <c r="AX10" s="208"/>
      <c r="AY10" s="208"/>
      <c r="AZ10" s="211"/>
    </row>
    <row r="11" ht="21" customHeight="1">
      <c r="A11" s="241"/>
      <c r="B11" s="242"/>
      <c r="C11" s="230"/>
      <c r="D11" t="s" s="246">
        <v>573</v>
      </c>
      <c r="E11" s="247"/>
      <c r="F11" s="248"/>
      <c r="G11" s="248"/>
      <c r="H11" s="249"/>
      <c r="I11" s="250"/>
      <c r="J11" s="56"/>
      <c r="K11" s="56"/>
      <c r="L11" s="108"/>
      <c r="M11" s="56"/>
      <c r="N11" s="56"/>
      <c r="O11" s="56"/>
      <c r="P11" s="56"/>
      <c r="Q11" s="56"/>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51"/>
      <c r="AW11" s="208"/>
      <c r="AX11" s="208"/>
      <c r="AY11" s="208"/>
      <c r="AZ11" s="211"/>
    </row>
    <row r="12" ht="21" customHeight="1">
      <c r="A12" s="239"/>
      <c r="B12" s="113"/>
      <c r="C12" s="230"/>
      <c r="D12" t="s" s="231">
        <v>574</v>
      </c>
      <c r="E12" s="232"/>
      <c r="F12" s="252">
        <v>5</v>
      </c>
      <c r="G12" s="253"/>
      <c r="H12" s="254">
        <v>2020</v>
      </c>
      <c r="I12" s="250"/>
      <c r="J12" s="56"/>
      <c r="K12" s="208"/>
      <c r="L12" s="208"/>
      <c r="M12" s="255"/>
      <c r="N12" s="56"/>
      <c r="O12" s="56"/>
      <c r="P12" s="56"/>
      <c r="Q12" s="56"/>
      <c r="R12" s="229"/>
      <c r="S12" s="256"/>
      <c r="T12" s="256"/>
      <c r="U12" s="256"/>
      <c r="V12" s="256"/>
      <c r="W12" s="256"/>
      <c r="X12" s="237"/>
      <c r="Y12" s="256"/>
      <c r="Z12" s="256"/>
      <c r="AA12" s="256"/>
      <c r="AB12" s="256"/>
      <c r="AC12" s="256"/>
      <c r="AD12" s="256"/>
      <c r="AE12" s="256"/>
      <c r="AF12" s="256"/>
      <c r="AG12" s="256"/>
      <c r="AH12" s="256"/>
      <c r="AI12" s="256"/>
      <c r="AJ12" s="256"/>
      <c r="AK12" s="237"/>
      <c r="AL12" s="208"/>
      <c r="AM12" s="208"/>
      <c r="AN12" s="208"/>
      <c r="AO12" s="208"/>
      <c r="AP12" s="208"/>
      <c r="AQ12" s="208"/>
      <c r="AR12" s="208"/>
      <c r="AS12" s="208"/>
      <c r="AT12" s="208"/>
      <c r="AU12" s="208"/>
      <c r="AV12" s="251"/>
      <c r="AW12" s="56"/>
      <c r="AX12" s="56"/>
      <c r="AY12" s="56"/>
      <c r="AZ12" s="257"/>
    </row>
    <row r="13" ht="21" customHeight="1">
      <c r="A13" s="239"/>
      <c r="B13" s="113"/>
      <c r="C13" s="230"/>
      <c r="D13" t="s" s="231">
        <v>575</v>
      </c>
      <c r="E13" s="232"/>
      <c r="F13" s="252">
        <v>6</v>
      </c>
      <c r="G13" s="253"/>
      <c r="H13" s="254">
        <v>2020</v>
      </c>
      <c r="I13" s="258"/>
      <c r="J13" s="259"/>
      <c r="K13" s="259"/>
      <c r="L13" s="259"/>
      <c r="M13" s="259"/>
      <c r="N13" s="56"/>
      <c r="O13" s="56"/>
      <c r="P13" s="56"/>
      <c r="Q13" s="56"/>
      <c r="R13" s="229"/>
      <c r="S13" s="256"/>
      <c r="T13" s="256"/>
      <c r="U13" s="256"/>
      <c r="V13" s="256"/>
      <c r="W13" s="256"/>
      <c r="X13" s="237"/>
      <c r="Y13" s="256"/>
      <c r="Z13" s="256"/>
      <c r="AA13" s="256"/>
      <c r="AB13" s="256"/>
      <c r="AC13" s="256"/>
      <c r="AD13" s="256"/>
      <c r="AE13" s="256"/>
      <c r="AF13" s="256"/>
      <c r="AG13" s="256"/>
      <c r="AH13" s="256"/>
      <c r="AI13" s="256"/>
      <c r="AJ13" s="256"/>
      <c r="AK13" s="237"/>
      <c r="AL13" s="208"/>
      <c r="AM13" s="208"/>
      <c r="AN13" s="208"/>
      <c r="AO13" s="208"/>
      <c r="AP13" s="208"/>
      <c r="AQ13" s="208"/>
      <c r="AR13" s="208"/>
      <c r="AS13" s="208"/>
      <c r="AT13" s="208"/>
      <c r="AU13" s="208"/>
      <c r="AV13" s="251"/>
      <c r="AW13" s="56"/>
      <c r="AX13" s="56"/>
      <c r="AY13" s="56"/>
      <c r="AZ13" s="257"/>
    </row>
    <row r="14" ht="21" customHeight="1">
      <c r="A14" s="223"/>
      <c r="B14" s="56"/>
      <c r="C14" t="s" s="260">
        <f>'Project Information'!C13</f>
        <v>576</v>
      </c>
      <c r="D14" t="s" s="231">
        <v>152</v>
      </c>
      <c r="E14" s="232"/>
      <c r="F14" s="252">
        <v>6</v>
      </c>
      <c r="G14" s="253"/>
      <c r="H14" s="254">
        <v>2021</v>
      </c>
      <c r="I14" s="258"/>
      <c r="J14" t="s" s="261">
        <f>IF(AND(MONTH(I17)=$F$13,YEAR(I17)=$H$13,MONTH(I17)=$F$14,YEAR(I17)=$H$14),"Equal","")</f>
      </c>
      <c r="K14" t="s" s="262">
        <f>IF(AND(MONTH(J17)=$F$13,YEAR(J17)=$H$13,MONTH(J17)=$F$14,YEAR(J17)=$H$14),"Equal","")</f>
      </c>
      <c r="L14" t="s" s="261">
        <f>IF(AND(MONTH(K17)=$F$13,YEAR(K17)=$H$13,MONTH(K17)=$F$14,YEAR(K17)=$H$14),"Equal","")</f>
      </c>
      <c r="M14" t="s" s="262">
        <f>IF(AND(MONTH(L17)=$F$13,YEAR(L17)=$H$13,MONTH(L17)=$F$14,YEAR(L17)=$H$14),"Equal","")</f>
      </c>
      <c r="N14" t="s" s="262">
        <f>IF(AND(MONTH(M17)=$F$13,YEAR(M17)=$H$13,MONTH(M17)=$F$14,YEAR(M17)=$H$14),"Equal","")</f>
      </c>
      <c r="O14" t="s" s="262">
        <f>IF(AND(MONTH(N17)=$F$13,YEAR(N17)=$H$13,MONTH(N17)=$F$14,YEAR(N17)=$H$14),"Equal","")</f>
      </c>
      <c r="P14" t="s" s="262">
        <f>IF(AND(MONTH(O17)=$F$13,YEAR(O17)=$H$13,MONTH(O17)=$F$14,YEAR(O17)=$H$14),"Equal","")</f>
      </c>
      <c r="Q14" t="s" s="262">
        <f>IF(AND(MONTH(P17)=$F$13,YEAR(P17)=$H$13,MONTH(P17)=$F$14,YEAR(P17)=$H$14),"Equal","")</f>
      </c>
      <c r="R14" t="s" s="262">
        <f>IF(AND(MONTH(Q17)=$F$13,YEAR(Q17)=$H$13,MONTH(Q17)=$F$14,YEAR(Q17)=$H$14),"Equal","")</f>
      </c>
      <c r="S14" t="s" s="262">
        <f>IF(AND(MONTH(R17)=$F$13,YEAR(R17)=$H$13,MONTH(R17)=$F$14,YEAR(R17)=$H$14),"Equal","")</f>
      </c>
      <c r="T14" t="s" s="262">
        <f>IF(AND(MONTH(S17)=$F$13,YEAR(S17)=$H$13,MONTH(S17)=$F$14,YEAR(S17)=$H$14),"Equal","")</f>
      </c>
      <c r="U14" t="s" s="262">
        <f>IF(AND(MONTH(T17)=$F$13,YEAR(T17)=$H$13,MONTH(T17)=$F$14,YEAR(T17)=$H$14),"Equal","")</f>
      </c>
      <c r="V14" s="256"/>
      <c r="W14" t="s" s="262">
        <f>IF(AND(MONTH(V17)=$F$13,YEAR(V17)=$H$13,MONTH(V17)=$F$14,YEAR(V17)=$H$14),"Equal","")</f>
      </c>
      <c r="X14" t="s" s="262">
        <f>IF(AND(MONTH(W17)=$F$13,YEAR(W17)=$H$13,MONTH(W17)=$F$14,YEAR(W17)=$H$14),"Equal","")</f>
      </c>
      <c r="Y14" t="s" s="262">
        <f>IF(AND(MONTH(X17)=$F$13,YEAR(X17)=$H$13,MONTH(X17)=$F$14,YEAR(X17)=$H$14),"Equal","")</f>
      </c>
      <c r="Z14" t="s" s="262">
        <f>IF(AND(MONTH(Y17)=$F$13,YEAR(Y17)=$H$13,MONTH(Y17)=$F$14,YEAR(Y17)=$H$14),"Equal","")</f>
      </c>
      <c r="AA14" t="s" s="262">
        <f>IF(AND(MONTH(Z17)=$F$13,YEAR(Z17)=$H$13,MONTH(Z17)=$F$14,YEAR(Z17)=$H$14),"Equal","")</f>
      </c>
      <c r="AB14" t="s" s="262">
        <f>IF(AND(MONTH(AA17)=$F$13,YEAR(AA17)=$H$13,MONTH(AA17)=$F$14,YEAR(AA17)=$H$14),"Equal","")</f>
      </c>
      <c r="AC14" t="s" s="262">
        <f>IF(AND(MONTH(AB17)=$F$13,YEAR(AB17)=$H$13,MONTH(AB17)=$F$14,YEAR(AB17)=$H$14),"Equal","")</f>
      </c>
      <c r="AD14" t="s" s="262">
        <f>IF(AND(MONTH(AC17)=$F$13,YEAR(AC17)=$H$13,MONTH(AC17)=$F$14,YEAR(AC17)=$H$14),"Equal","")</f>
      </c>
      <c r="AE14" t="s" s="262">
        <f>IF(AND(MONTH(AD17)=$F$13,YEAR(AD17)=$H$13,MONTH(AD17)=$F$14,YEAR(AD17)=$H$14),"Equal","")</f>
      </c>
      <c r="AF14" t="s" s="262">
        <f>IF(AND(MONTH(AE17)=$F$13,YEAR(AE17)=$H$13,MONTH(AE17)=$F$14,YEAR(AE17)=$H$14),"Equal","")</f>
      </c>
      <c r="AG14" t="s" s="262">
        <f>IF(AND(MONTH(AF17)=$F$13,YEAR(AF17)=$H$13,MONTH(AF17)=$F$14,YEAR(AF17)=$H$14),"Equal","")</f>
      </c>
      <c r="AH14" t="s" s="262">
        <f>IF(AND(MONTH(AG17)=$F$13,YEAR(AG17)=$H$13,MONTH(AG17)=$F$14,YEAR(AG17)=$H$14),"Equal","")</f>
      </c>
      <c r="AI14" s="256"/>
      <c r="AJ14" t="s" s="262">
        <f>IF(AND(MONTH(AI17)=$F$13,YEAR(AI17)=$H$13,MONTH(AI17)=$F$14,YEAR(AI17)=$H$14),"Equal","")</f>
      </c>
      <c r="AK14" t="s" s="262">
        <f>IF(AND(MONTH(AJ17)=$F$13,YEAR(AJ17)=$H$13,MONTH(AJ17)=$F$14,YEAR(AJ17)=$H$14),"Equal","")</f>
      </c>
      <c r="AL14" t="s" s="262">
        <f>IF(AND(MONTH(AK17)=$F$13,YEAR(AK17)=$H$13,MONTH(AK17)=$F$14,YEAR(AK17)=$H$14),"Equal","")</f>
      </c>
      <c r="AM14" t="s" s="262">
        <f>IF(AND(MONTH(AL17)=$F$13,YEAR(AL17)=$H$13,MONTH(AL17)=$F$14,YEAR(AL17)=$H$14),"Equal","")</f>
      </c>
      <c r="AN14" t="s" s="262">
        <f>IF(AND(MONTH(AM17)=$F$13,YEAR(AM17)=$H$13,MONTH(AM17)=$F$14,YEAR(AM17)=$H$14),"Equal","")</f>
      </c>
      <c r="AO14" t="s" s="262">
        <f>IF(AND(MONTH(AN17)=$F$13,YEAR(AN17)=$H$13,MONTH(AN17)=$F$14,YEAR(AN17)=$H$14),"Equal","")</f>
      </c>
      <c r="AP14" t="s" s="262">
        <f>IF(AND(MONTH(AO17)=$F$13,YEAR(AO17)=$H$13,MONTH(AO17)=$F$14,YEAR(AO17)=$H$14),"Equal","")</f>
      </c>
      <c r="AQ14" t="s" s="262">
        <f>IF(AND(MONTH(AP17)=$F$13,YEAR(AP17)=$H$13,MONTH(AP17)=$F$14,YEAR(AP17)=$H$14),"Equal","")</f>
      </c>
      <c r="AR14" t="s" s="262">
        <f>IF(AND(MONTH(AQ17)=$F$13,YEAR(AQ17)=$H$13,MONTH(AQ17)=$F$14,YEAR(AQ17)=$H$14),"Equal","")</f>
      </c>
      <c r="AS14" t="s" s="262">
        <f>IF(AND(MONTH(AR17)=$F$13,YEAR(AR17)=$H$13,MONTH(AR17)=$F$14,YEAR(AR17)=$H$14),"Equal","")</f>
      </c>
      <c r="AT14" t="s" s="262">
        <f>IF(AND(MONTH(AS17)=$F$13,YEAR(AS17)=$H$13,MONTH(AS17)=$F$14,YEAR(AS17)=$H$14),"Equal","")</f>
      </c>
      <c r="AU14" t="s" s="262">
        <f>IF(AND(MONTH(AT17)=$F$13,YEAR(AT17)=$H$13,MONTH(AT17)=$F$14,YEAR(AT17)=$H$14),"Equal","")</f>
      </c>
      <c r="AV14" s="251"/>
      <c r="AW14" s="56"/>
      <c r="AX14" s="56"/>
      <c r="AY14" s="56"/>
      <c r="AZ14" s="257"/>
    </row>
    <row r="15" ht="21" customHeight="1">
      <c r="A15" s="263"/>
      <c r="B15" s="56"/>
      <c r="C15" s="229"/>
      <c r="D15" s="264"/>
      <c r="E15" s="264"/>
      <c r="F15" s="265"/>
      <c r="G15" s="265"/>
      <c r="H15" s="265"/>
      <c r="I15" s="266"/>
      <c r="J15" t="s" s="261">
        <f>IF(AND(MONTH(I17)=$F$13,YEAR(I17)=$H$13),"Start on Site","")</f>
      </c>
      <c r="K15" t="s" s="261">
        <f>IF(AND(MONTH(J17)=$F$13,YEAR(J17)=$H$13),"Start on Site","")</f>
      </c>
      <c r="L15" t="s" s="261">
        <f>IF(AND(MONTH(K17)=$F$13,YEAR(K17)=$H$13),"Start on Site","")</f>
        <v>577</v>
      </c>
      <c r="M15" t="s" s="261">
        <f>IF(AND(MONTH(L17)=$F$13,YEAR(L17)=$H$13),"Start on Site","")</f>
      </c>
      <c r="N15" t="s" s="261">
        <f>IF(AND(MONTH(M17)=$F$13,YEAR(M17)=$H$13),"Start on Site","")</f>
      </c>
      <c r="O15" t="s" s="261">
        <f>IF(AND(MONTH(N17)=$F$13,YEAR(N17)=$H$13),"Start on Site","")</f>
      </c>
      <c r="P15" t="s" s="261">
        <f>IF(AND(MONTH(O17)=$F$13,YEAR(O17)=$H$13),"Start on Site","")</f>
      </c>
      <c r="Q15" t="s" s="261">
        <f>IF(AND(MONTH(P17)=$F$13,YEAR(P17)=$H$13),"Start on Site","")</f>
      </c>
      <c r="R15" t="s" s="261">
        <f>IF(AND(MONTH(Q17)=$F$13,YEAR(Q17)=$H$13),"Start on Site","")</f>
      </c>
      <c r="S15" t="s" s="261">
        <f>IF(AND(MONTH(R17)=$F$13,YEAR(R17)=$H$13),"Start on Site","")</f>
      </c>
      <c r="T15" t="s" s="261">
        <f>IF(AND(MONTH(S17)=$F$13,YEAR(S17)=$H$13),"Start on Site","")</f>
      </c>
      <c r="U15" t="s" s="261">
        <f>IF(AND(MONTH(T17)=$F$13,YEAR(T17)=$H$13),"Start on Site","")</f>
      </c>
      <c r="V15" s="267"/>
      <c r="W15" t="s" s="261">
        <f>IF(AND(MONTH(V17)=$F$13,YEAR(V17)=$H$13),"Start on Site","")</f>
      </c>
      <c r="X15" t="s" s="261">
        <f>IF(AND(MONTH(W17)=$F$13,YEAR(W17)=$H$13),"Start on Site","")</f>
      </c>
      <c r="Y15" t="s" s="261">
        <f>IF(AND(MONTH(X17)=$F$13,YEAR(X17)=$H$13),"Start on Site","")</f>
      </c>
      <c r="Z15" t="s" s="261">
        <f>IF(AND(MONTH(Y17)=$F$13,YEAR(Y17)=$H$13),"Start on Site","")</f>
      </c>
      <c r="AA15" t="s" s="261">
        <f>IF(AND(MONTH(Z17)=$F$13,YEAR(Z17)=$H$13),"Start on Site","")</f>
      </c>
      <c r="AB15" t="s" s="261">
        <f>IF(AND(MONTH(AA17)=$F$13,YEAR(AA17)=$H$13),"Start on Site","")</f>
      </c>
      <c r="AC15" t="s" s="261">
        <f>IF(AND(MONTH(AB17)=$F$13,YEAR(AB17)=$H$13),"Start on Site","")</f>
      </c>
      <c r="AD15" t="s" s="261">
        <f>IF(AND(MONTH(AC17)=$F$13,YEAR(AC17)=$H$13),"Start on Site","")</f>
      </c>
      <c r="AE15" t="s" s="261">
        <f>IF(AND(MONTH(AD17)=$F$13,YEAR(AD17)=$H$13),"Start on Site","")</f>
      </c>
      <c r="AF15" t="s" s="261">
        <f>IF(AND(MONTH(AE17)=$F$13,YEAR(AE17)=$H$13),"Start on Site","")</f>
      </c>
      <c r="AG15" t="s" s="261">
        <f>IF(AND(MONTH(AF17)=$F$13,YEAR(AF17)=$H$13),"Start on Site","")</f>
      </c>
      <c r="AH15" t="s" s="261">
        <f>IF(AND(MONTH(AG17)=$F$13,YEAR(AG17)=$H$13),"Start on Site","")</f>
      </c>
      <c r="AI15" s="267"/>
      <c r="AJ15" t="s" s="261">
        <f>IF(AND(MONTH(AI17)=$F$13,YEAR(AI17)=$H$13),"Start on Site","")</f>
      </c>
      <c r="AK15" t="s" s="261">
        <f>IF(AND(MONTH(AJ17)=$F$13,YEAR(AJ17)=$H$13),"Start on Site","")</f>
      </c>
      <c r="AL15" t="s" s="261">
        <f>IF(AND(MONTH(AK17)=$F$13,YEAR(AK17)=$H$13),"Start on Site","")</f>
      </c>
      <c r="AM15" t="s" s="261">
        <f>IF(AND(MONTH(AL17)=$F$13,YEAR(AL17)=$H$13),"Start on Site","")</f>
      </c>
      <c r="AN15" t="s" s="261">
        <f>IF(AND(MONTH(AM17)=$F$13,YEAR(AM17)=$H$13),"Start on Site","")</f>
      </c>
      <c r="AO15" t="s" s="261">
        <f>IF(AND(MONTH(AN17)=$F$13,YEAR(AN17)=$H$13),"Start on Site","")</f>
      </c>
      <c r="AP15" t="s" s="261">
        <f>IF(AND(MONTH(AO17)=$F$13,YEAR(AO17)=$H$13),"Start on Site","")</f>
      </c>
      <c r="AQ15" t="s" s="261">
        <f>IF(AND(MONTH(AP17)=$F$13,YEAR(AP17)=$H$13),"Start on Site","")</f>
      </c>
      <c r="AR15" t="s" s="261">
        <f>IF(AND(MONTH(AQ17)=$F$13,YEAR(AQ17)=$H$13),"Start on Site","")</f>
      </c>
      <c r="AS15" t="s" s="261">
        <f>IF(AND(MONTH(AR17)=$F$13,YEAR(AR17)=$H$13),"Start on Site","")</f>
      </c>
      <c r="AT15" t="s" s="261">
        <f>IF(AND(MONTH(AS17)=$F$13,YEAR(AS17)=$H$13),"Start on Site","")</f>
      </c>
      <c r="AU15" t="s" s="261">
        <f>IF(AND(MONTH(AT17)=$F$13,YEAR(AT17)=$H$13),"Start on Site","")</f>
      </c>
      <c r="AV15" s="251"/>
      <c r="AW15" s="56"/>
      <c r="AX15" s="56"/>
      <c r="AY15" s="56"/>
      <c r="AZ15" s="257"/>
    </row>
    <row r="16" ht="39.75" customHeight="1">
      <c r="A16" s="268"/>
      <c r="B16" s="9"/>
      <c r="C16" s="269"/>
      <c r="D16" s="269"/>
      <c r="E16" s="269"/>
      <c r="F16" s="270"/>
      <c r="G16" s="270"/>
      <c r="H16" s="271">
        <f>'Project Information'!D25</f>
        <v>2020</v>
      </c>
      <c r="I16" t="s" s="272">
        <f>IF(AND(MONTH(I17)=$F$12,YEAR(I17)=$H$12),"Purchase Completion",IF(AND(MONTH(I17)=$F$13,YEAR(I17)=$H$13),"Start on Site",IF(AND(MONTH(I17)=$F$14,YEAR(I17)=$H$14),"Practical Completion","")))</f>
      </c>
      <c r="J16" t="s" s="272">
        <f>IF(AND(MONTH(J17)=$F$12,YEAR(J17)=$H$12),"Purchase Completion",IF(AND(MONTH(J17)=$F$13,YEAR(J17)=$H$13),"Start on Site",IF(AND(MONTH(J17)=$F$14,YEAR(J17)=$H$14),"Practical Completion","")))</f>
        <v>578</v>
      </c>
      <c r="K16" t="s" s="272">
        <f>IF(AND(MONTH(K17)=$F$12,YEAR(K17)=$H$12),"Purchase Completion",IF(AND(MONTH(K17)=$F$13,YEAR(K17)=$H$13),"Start on Site",IF(AND(MONTH(K17)=$F$14,YEAR(K17)=$H$14),"Practical Completion","")))</f>
        <v>577</v>
      </c>
      <c r="L16" t="s" s="272">
        <f>IF(AND(MONTH(L17)=$F$12,YEAR(L17)=$H$12),"Purchase Completion",IF(AND(MONTH(L17)=$F$13,YEAR(L17)=$H$13),"Start on Site",IF(AND(MONTH(L17)=$F$14,YEAR(L17)=$H$14),"Practical Completion","")))</f>
      </c>
      <c r="M16" t="s" s="272">
        <f>IF(AND(MONTH(M17)=$F$12,YEAR(M17)=$H$12),"Purchase Completion",IF(AND(MONTH(M17)=$F$13,YEAR(M17)=$H$13),"Start on Site",IF(AND(MONTH(M17)=$F$14,YEAR(M17)=$H$14),"Practical Completion","")))</f>
      </c>
      <c r="N16" t="s" s="272">
        <f>IF(AND(MONTH(N17)=$F$12,YEAR(N17)=$H$12),"Purchase Completion",IF(AND(MONTH(N17)=$F$13,YEAR(N17)=$H$13),"Start on Site",IF(AND(MONTH(N17)=$F$14,YEAR(N17)=$H$14),"Practical Completion","")))</f>
      </c>
      <c r="O16" t="s" s="272">
        <f>IF(AND(MONTH(O17)=$F$12,YEAR(O17)=$H$12),"Purchase Completion",IF(AND(MONTH(O17)=$F$13,YEAR(O17)=$H$13),"Start on Site",IF(AND(MONTH(O17)=$F$14,YEAR(O17)=$H$14),"Practical Completion","")))</f>
      </c>
      <c r="P16" t="s" s="272">
        <f>IF(AND(MONTH(P17)=$F$12,YEAR(P17)=$H$12),"Purchase Completion",IF(AND(MONTH(P17)=$F$13,YEAR(P17)=$H$13),"Start on Site",IF(AND(MONTH(P17)=$F$14,YEAR(P17)=$H$14),"Practical Completion","")))</f>
      </c>
      <c r="Q16" t="s" s="272">
        <f>IF(AND(MONTH(Q17)=$F$12,YEAR(Q17)=$H$12),"Purchase Completion",IF(AND(MONTH(Q17)=$F$13,YEAR(Q17)=$H$13),"Start on Site",IF(AND(MONTH(Q17)=$F$14,YEAR(Q17)=$H$14),"Practical Completion","")))</f>
      </c>
      <c r="R16" t="s" s="272">
        <f>IF(AND(MONTH(R17)=$F$12,YEAR(R17)=$H$12),"Purchase Completion",IF(AND(MONTH(R17)=$F$13,YEAR(R17)=$H$13),"Start on Site",IF(AND(MONTH(R17)=$F$14,YEAR(R17)=$H$14),"Practical Completion","")))</f>
      </c>
      <c r="S16" t="s" s="272">
        <f>IF(AND(MONTH(S17)=$F$12,YEAR(S17)=$H$12),"Purchase Completion",IF(AND(MONTH(S17)=$F$13,YEAR(S17)=$H$13),"Start on Site",IF(AND(MONTH(S17)=$F$14,YEAR(S17)=$H$14),"Practical Completion","")))</f>
      </c>
      <c r="T16" t="s" s="272">
        <f>IF(AND(MONTH(T17)=$F$12,YEAR(T17)=$H$12),"Purchase Completion",IF(AND(MONTH(T17)=$F$13,YEAR(T17)=$H$13),"Start on Site",IF(AND(MONTH(T17)=$F$14,YEAR(T17)=$H$14),"Practical Completion","")))</f>
      </c>
      <c r="U16" s="273"/>
      <c r="V16" t="s" s="272">
        <f>IF(AND(MONTH(V17)=$F$12,YEAR(V17)=$H$12),"Purchase Completion",IF(AND(MONTH(V17)=$F$13,YEAR(V17)=$H$13),"Start on Site",IF(AND(MONTH(V17)=$F$14,YEAR(V17)=$H$14),"Practical Completion","")))</f>
      </c>
      <c r="W16" t="s" s="272">
        <f>IF(AND(MONTH(W17)=$F$12,YEAR(W17)=$H$12),"Purchase Completion",IF(AND(MONTH(W17)=$F$13,YEAR(W17)=$H$13),"Start on Site",IF(AND(MONTH(W17)=$F$14,YEAR(W17)=$H$14),"Practical Completion","")))</f>
      </c>
      <c r="X16" t="s" s="272">
        <f>IF(AND(MONTH(X17)=$F$12,YEAR(X17)=$H$12),"Purchase Completion",IF(AND(MONTH(X17)=$F$13,YEAR(X17)=$H$13),"Start on Site",IF(AND(MONTH(X17)=$F$14,YEAR(X17)=$H$14),"Practical Completion","")))</f>
        <v>152</v>
      </c>
      <c r="Y16" t="s" s="272">
        <f>IF(AND(MONTH(Y17)=$F$12,YEAR(Y17)=$H$12),"Purchase Completion",IF(AND(MONTH(Y17)=$F$13,YEAR(Y17)=$H$13),"Start on Site",IF(AND(MONTH(Y17)=$F$14,YEAR(Y17)=$H$14),"Practical Completion","")))</f>
      </c>
      <c r="Z16" t="s" s="272">
        <f>IF(AND(MONTH(Z17)=$F$12,YEAR(Z17)=$H$12),"Purchase Completion",IF(AND(MONTH(Z17)=$F$13,YEAR(Z17)=$H$13),"Start on Site",IF(AND(MONTH(Z17)=$F$14,YEAR(Z17)=$H$14),"Practical Completion","")))</f>
      </c>
      <c r="AA16" t="s" s="272">
        <f>IF(AND(MONTH(AA17)=$F$12,YEAR(AA17)=$H$12),"Purchase Completion",IF(AND(MONTH(AA17)=$F$13,YEAR(AA17)=$H$13),"Start on Site",IF(AND(MONTH(AA17)=$F$14,YEAR(AA17)=$H$14),"Practical Completion","")))</f>
      </c>
      <c r="AB16" t="s" s="272">
        <f>IF(AND(MONTH(AB17)=$F$12,YEAR(AB17)=$H$12),"Purchase Completion",IF(AND(MONTH(AB17)=$F$13,YEAR(AB17)=$H$13),"Start on Site",IF(AND(MONTH(AB17)=$F$14,YEAR(AB17)=$H$14),"Practical Completion","")))</f>
      </c>
      <c r="AC16" t="s" s="272">
        <f>IF(AND(MONTH(AC17)=$F$12,YEAR(AC17)=$H$12),"Purchase Completion",IF(AND(MONTH(AC17)=$F$13,YEAR(AC17)=$H$13),"Start on Site",IF(AND(MONTH(AC17)=$F$14,YEAR(AC17)=$H$14),"Practical Completion","")))</f>
      </c>
      <c r="AD16" t="s" s="272">
        <f>IF(AND(MONTH(AD17)=$F$12,YEAR(AD17)=$H$12),"Purchase Completion",IF(AND(MONTH(AD17)=$F$13,YEAR(AD17)=$H$13),"Start on Site",IF(AND(MONTH(AD17)=$F$14,YEAR(AD17)=$H$14),"Practical Completion","")))</f>
      </c>
      <c r="AE16" t="s" s="272">
        <f>IF(AND(MONTH(AE17)=$F$12,YEAR(AE17)=$H$12),"Purchase Completion",IF(AND(MONTH(AE17)=$F$13,YEAR(AE17)=$H$13),"Start on Site",IF(AND(MONTH(AE17)=$F$14,YEAR(AE17)=$H$14),"Practical Completion","")))</f>
      </c>
      <c r="AF16" t="s" s="272">
        <f>IF(AND(MONTH(AF17)=$F$12,YEAR(AF17)=$H$12),"Purchase Completion",IF(AND(MONTH(AF17)=$F$13,YEAR(AF17)=$H$13),"Start on Site",IF(AND(MONTH(AF17)=$F$14,YEAR(AF17)=$H$14),"Practical Completion","")))</f>
      </c>
      <c r="AG16" t="s" s="272">
        <f>IF(AND(MONTH(AG17)=$F$12,YEAR(AG17)=$H$12),"Purchase Completion",IF(AND(MONTH(AG17)=$F$13,YEAR(AG17)=$H$13),"Start on Site",IF(AND(MONTH(AG17)=$F$14,YEAR(AG17)=$H$14),"Practical Completion","")))</f>
      </c>
      <c r="AH16" s="273"/>
      <c r="AI16" t="s" s="272">
        <f>IF(AND(MONTH(AI17)=$F$12,YEAR(AI17)=$H$12),"Purchase Completion",IF(AND(MONTH(AI17)=$F$13,YEAR(AI17)=$H$13),"Start on Site",IF(AND(MONTH(AI17)=$F$14,YEAR(AI17)=$H$14),"Practical Completion","")))</f>
      </c>
      <c r="AJ16" t="s" s="272">
        <f>IF(AND(MONTH(AJ17)=$F$12,YEAR(AJ17)=$H$12),"Purchase Completion",IF(AND(MONTH(AJ17)=$F$13,YEAR(AJ17)=$H$13),"Start on Site",IF(AND(MONTH(AJ17)=$F$14,YEAR(AJ17)=$H$14),"Practical Completion","")))</f>
      </c>
      <c r="AK16" t="s" s="272">
        <f>IF(AND(MONTH(AK17)=$F$12,YEAR(AK17)=$H$12),"Purchase Completion",IF(AND(MONTH(AK17)=$F$13,YEAR(AK17)=$H$13),"Start on Site",IF(AND(MONTH(AK17)=$F$14,YEAR(AK17)=$H$14),"Practical Completion","")))</f>
      </c>
      <c r="AL16" t="s" s="272">
        <f>IF(AND(MONTH(AL17)=$F$12,YEAR(AL17)=$H$12),"Purchase Completion",IF(AND(MONTH(AL17)=$F$13,YEAR(AL17)=$H$13),"Start on Site",IF(AND(MONTH(AL17)=$F$14,YEAR(AL17)=$H$14),"Practical Completion","")))</f>
      </c>
      <c r="AM16" t="s" s="272">
        <f>IF(AND(MONTH(AM17)=$F$12,YEAR(AM17)=$H$12),"Purchase Completion",IF(AND(MONTH(AM17)=$F$13,YEAR(AM17)=$H$13),"Start on Site",IF(AND(MONTH(AM17)=$F$14,YEAR(AM17)=$H$14),"Practical Completion","")))</f>
      </c>
      <c r="AN16" t="s" s="272">
        <f>IF(AND(MONTH(AN17)=$F$12,YEAR(AN17)=$H$12),"Purchase Completion",IF(AND(MONTH(AN17)=$F$13,YEAR(AN17)=$H$13),"Start on Site",IF(AND(MONTH(AN17)=$F$14,YEAR(AN17)=$H$14),"Practical Completion","")))</f>
      </c>
      <c r="AO16" t="s" s="272">
        <f>IF(AND(MONTH(AO17)=$F$12,YEAR(AO17)=$H$12),"Purchase Completion",IF(AND(MONTH(AO17)=$F$13,YEAR(AO17)=$H$13),"Start on Site",IF(AND(MONTH(AO17)=$F$14,YEAR(AO17)=$H$14),"Practical Completion","")))</f>
      </c>
      <c r="AP16" t="s" s="272">
        <f>IF(AND(MONTH(AP17)=$F$12,YEAR(AP17)=$H$12),"Purchase Completion",IF(AND(MONTH(AP17)=$F$13,YEAR(AP17)=$H$13),"Start on Site",IF(AND(MONTH(AP17)=$F$14,YEAR(AP17)=$H$14),"Practical Completion","")))</f>
      </c>
      <c r="AQ16" t="s" s="272">
        <f>IF(AND(MONTH(AQ17)=$F$12,YEAR(AQ17)=$H$12),"Purchase Completion",IF(AND(MONTH(AQ17)=$F$13,YEAR(AQ17)=$H$13),"Start on Site",IF(AND(MONTH(AQ17)=$F$14,YEAR(AQ17)=$H$14),"Practical Completion","")))</f>
      </c>
      <c r="AR16" t="s" s="272">
        <f>IF(AND(MONTH(AR17)=$F$12,YEAR(AR17)=$H$12),"Purchase Completion",IF(AND(MONTH(AR17)=$F$13,YEAR(AR17)=$H$13),"Start on Site",IF(AND(MONTH(AR17)=$F$14,YEAR(AR17)=$H$14),"Practical Completion","")))</f>
      </c>
      <c r="AS16" t="s" s="272">
        <f>IF(AND(MONTH(AS17)=$F$12,YEAR(AS17)=$H$12),"Purchase Completion",IF(AND(MONTH(AS17)=$F$13,YEAR(AS17)=$H$13),"Start on Site",IF(AND(MONTH(AS17)=$F$14,YEAR(AS17)=$H$14),"Practical Completion","")))</f>
      </c>
      <c r="AT16" t="s" s="272">
        <f>IF(AND(MONTH(AT17)=$F$12,YEAR(AT17)=$H$12),"Purchase Completion",IF(AND(MONTH(AT17)=$F$13,YEAR(AT17)=$H$13),"Start on Site",IF(AND(MONTH(AT17)=$F$14,YEAR(AT17)=$H$14),"Practical Completion","")))</f>
      </c>
      <c r="AU16" s="274"/>
      <c r="AV16" s="56"/>
      <c r="AW16" s="208"/>
      <c r="AX16" s="208"/>
      <c r="AY16" s="208"/>
      <c r="AZ16" s="211"/>
    </row>
    <row r="17" ht="57" customHeight="1">
      <c r="A17" t="s" s="275">
        <v>579</v>
      </c>
      <c r="B17" t="s" s="276">
        <v>580</v>
      </c>
      <c r="C17" s="277"/>
      <c r="D17" t="s" s="278">
        <v>581</v>
      </c>
      <c r="E17" s="279"/>
      <c r="F17" t="s" s="280">
        <v>582</v>
      </c>
      <c r="G17" t="s" s="280">
        <v>583</v>
      </c>
      <c r="H17" t="s" s="281">
        <v>584</v>
      </c>
      <c r="I17" s="282">
        <v>43941</v>
      </c>
      <c r="J17" s="282">
        <v>43971</v>
      </c>
      <c r="K17" s="282">
        <v>44002</v>
      </c>
      <c r="L17" s="282">
        <v>44032</v>
      </c>
      <c r="M17" s="282">
        <v>44063</v>
      </c>
      <c r="N17" s="282">
        <v>44094</v>
      </c>
      <c r="O17" s="282">
        <v>44124</v>
      </c>
      <c r="P17" s="282">
        <v>44155</v>
      </c>
      <c r="Q17" s="283">
        <v>44185</v>
      </c>
      <c r="R17" s="282">
        <v>44217</v>
      </c>
      <c r="S17" s="282">
        <v>44228</v>
      </c>
      <c r="T17" s="282">
        <v>44256</v>
      </c>
      <c r="U17" s="280">
        <f>YEAR(T17)</f>
        <v>2021</v>
      </c>
      <c r="V17" s="282">
        <v>44307</v>
      </c>
      <c r="W17" s="282">
        <v>44337</v>
      </c>
      <c r="X17" s="282">
        <v>44368</v>
      </c>
      <c r="Y17" s="282">
        <v>44398</v>
      </c>
      <c r="Z17" s="282">
        <v>44429</v>
      </c>
      <c r="AA17" s="284">
        <v>44440</v>
      </c>
      <c r="AB17" s="282">
        <v>44490</v>
      </c>
      <c r="AC17" s="282">
        <v>44521</v>
      </c>
      <c r="AD17" s="282">
        <v>44531</v>
      </c>
      <c r="AE17" s="282">
        <v>44562</v>
      </c>
      <c r="AF17" s="282">
        <v>44593</v>
      </c>
      <c r="AG17" s="282">
        <v>44621</v>
      </c>
      <c r="AH17" s="280">
        <f>YEAR(AG17)</f>
        <v>2022</v>
      </c>
      <c r="AI17" s="282">
        <f>'Project Information'!BD9</f>
        <v>44666</v>
      </c>
      <c r="AJ17" s="282">
        <f>'Project Information'!BE9</f>
        <v>44697</v>
      </c>
      <c r="AK17" s="282">
        <f>'Project Information'!BF9</f>
        <v>44728</v>
      </c>
      <c r="AL17" s="282">
        <f>'Project Information'!BG9</f>
        <v>44759</v>
      </c>
      <c r="AM17" s="282">
        <f>'Project Information'!BH9</f>
        <v>44790</v>
      </c>
      <c r="AN17" s="282">
        <f>'Project Information'!BI9</f>
        <v>44821</v>
      </c>
      <c r="AO17" s="282">
        <f>'Project Information'!BJ9</f>
        <v>44852</v>
      </c>
      <c r="AP17" s="282">
        <f>'Project Information'!BK9</f>
        <v>44883</v>
      </c>
      <c r="AQ17" s="282">
        <f>'Project Information'!BL9</f>
        <v>44914</v>
      </c>
      <c r="AR17" s="282">
        <f>'Project Information'!BM9</f>
        <v>44945</v>
      </c>
      <c r="AS17" s="282">
        <f>'Project Information'!BN9</f>
        <v>44976</v>
      </c>
      <c r="AT17" s="282">
        <f>'Project Information'!BO9</f>
        <v>45007</v>
      </c>
      <c r="AU17" s="280">
        <f>YEAR(AT17)</f>
        <v>2023</v>
      </c>
      <c r="AV17" s="116"/>
      <c r="AW17" s="208"/>
      <c r="AX17" s="208"/>
      <c r="AY17" s="208"/>
      <c r="AZ17" s="211"/>
    </row>
    <row r="18" ht="18" customHeight="1">
      <c r="A18" t="s" s="285">
        <v>585</v>
      </c>
      <c r="B18" t="s" s="286">
        <v>586</v>
      </c>
      <c r="C18" s="287"/>
      <c r="D18" t="s" s="288">
        <v>587</v>
      </c>
      <c r="E18" t="s" s="288">
        <v>78</v>
      </c>
      <c r="F18" s="289">
        <v>0</v>
      </c>
      <c r="G18" s="290"/>
      <c r="H18" s="290">
        <f>SUM(U18+AH18+AU18)</f>
        <v>0</v>
      </c>
      <c r="I18" t="s" s="291">
        <f>IF($C$14&lt;&gt;"Off the Shelf","",HLOOKUP(SUM($F$13+IF($H$13=($H$16+1),12+IF($H$13=($H$16+2),24+IF($H$13=($H$16+3),36)))),'Master Cost Page'!$P$89:$BZ$192,5,0))</f>
      </c>
      <c r="J18" t="s" s="291">
        <f>IF($C$14&lt;&gt;"Off the Shelf","",HLOOKUP(SUM($F$13+IF($H$13=($H$16+1),12+IF($H$13=($H$16+2),24+IF($H$13=($H$16+3),36)))),'Master Cost Page'!$P$89:$BZ$192,6,0))</f>
      </c>
      <c r="K18" t="s" s="291">
        <f>IF($C$14&lt;&gt;"Off the Shelf","",HLOOKUP(SUM($F$13+IF($H$13=($H$16+1),12+IF($H$13=($H$16+2),24+IF($H$13=($H$16+3),36)))),'Master Cost Page'!$P$89:$BZ$192,7,0))</f>
      </c>
      <c r="L18" t="s" s="291">
        <f>IF($C$14&lt;&gt;"Off the Shelf","",HLOOKUP(SUM($F$13+IF($H$13=($H$16+1),12+IF($H$13=($H$16+2),24+IF($H$13=($H$16+3),36)))),'Master Cost Page'!$P$89:$BZ$192,8,0))</f>
      </c>
      <c r="M18" t="s" s="291">
        <f>IF($C$14&lt;&gt;"Off the Shelf","",HLOOKUP(SUM($F$13+IF($H$13=($H$16+1),12+IF($H$13=($H$16+2),24+IF($H$13=($H$16+3),36)))),'Master Cost Page'!$P$89:$BZ$192,9,0))</f>
      </c>
      <c r="N18" t="s" s="291">
        <f>IF($C$14&lt;&gt;"Off the Shelf","",HLOOKUP(SUM($F$13+IF($H$13=($H$16+1),12+IF($H$13=($H$16+2),24+IF($H$13=($H$16+3),36)))),'Master Cost Page'!$P$89:$BZ$192,10,0))</f>
      </c>
      <c r="O18" t="s" s="291">
        <f>IF($C$14&lt;&gt;"Off the Shelf","",HLOOKUP(SUM($F$13+IF($H$13=($H$16+1),12+IF($H$13=($H$16+2),24+IF($H$13=($H$16+3),36)))),'Master Cost Page'!$P$89:$BZ$192,11,0))</f>
      </c>
      <c r="P18" t="s" s="291">
        <f>IF($C$14&lt;&gt;"Off the Shelf","",HLOOKUP(SUM($F$13+IF($H$13=($H$16+1),12+IF($H$13=($H$16+2),24+IF($H$13=($H$16+3),36)))),'Master Cost Page'!$P$89:$BZ$192,12,0))</f>
      </c>
      <c r="Q18" t="s" s="291">
        <f>IF($C$14&lt;&gt;"Off the Shelf","",HLOOKUP(SUM($F$13+IF($H$13=($H$16+1),12+IF($H$13=($H$16+2),24+IF($H$13=($H$16+3),36)))),'Master Cost Page'!$P$89:$BZ$192,13,0))</f>
      </c>
      <c r="R18" t="s" s="291">
        <f>IF($C$14&lt;&gt;"Off the Shelf","",HLOOKUP(SUM($F$13+IF($H$13=($H$16+1),12+IF($H$13=($H$16+2),24+IF($H$13=($H$16+3),36)))),'Master Cost Page'!$P$89:$BZ$192,14,0))</f>
      </c>
      <c r="S18" t="s" s="291">
        <f>IF($C$14&lt;&gt;"Off the Shelf","",HLOOKUP(SUM($F$13+IF($H$13=($H$16+1),12+IF($H$13=($H$16+2),24+IF($H$13=($H$16+3),36)))),'Master Cost Page'!$P$89:$BZ$192,15,0))</f>
      </c>
      <c r="T18" t="s" s="291">
        <f>IF($C$14&lt;&gt;"Off the Shelf","",HLOOKUP(SUM($F$13+IF($H$13=($H$16+1),12+IF($H$13=($H$16+2),24+IF($H$13=($H$16+3),36)))),'Master Cost Page'!$P$89:$BZ$192,16,0))</f>
      </c>
      <c r="U18" s="290">
        <f>SUM(I18:T18)</f>
        <v>0</v>
      </c>
      <c r="V18" t="s" s="291">
        <f>IF($C$14&lt;&gt;"Off the Shelf","",HLOOKUP(SUM($F$13+IF($H$13=($H$16+1),12+IF($H$13=($H$16+2),24+IF($H$13=($H$16+3),36)))),'Master Cost Page'!$P$89:$BZ$192,17,0))</f>
      </c>
      <c r="W18" t="s" s="291">
        <f>IF($C$14&lt;&gt;"Off the Shelf","",HLOOKUP(SUM($F$13+IF($H$13=($H$16+1),12+IF($H$13=($H$16+2),24+IF($H$13=($H$16+3),36)))),'Master Cost Page'!$P$89:$BZ$192,18,0))</f>
      </c>
      <c r="X18" t="s" s="291">
        <f>IF($C$14&lt;&gt;"Off the Shelf","",HLOOKUP(SUM($F$13+IF($H$13=($H$16+1),12+IF($H$13=($H$16+2),24+IF($H$13=($H$16+3),36)))),'Master Cost Page'!$P$89:$BZ$192,19,0))</f>
      </c>
      <c r="Y18" t="s" s="291">
        <f>IF($C$14&lt;&gt;"Off the Shelf","",HLOOKUP(SUM($F$13+IF($H$13=($H$16+1),12+IF($H$13=($H$16+2),24+IF($H$13=($H$16+3),36)))),'Master Cost Page'!$P$89:$BZ$192,20,0))</f>
      </c>
      <c r="Z18" t="s" s="291">
        <f>IF($C$14&lt;&gt;"Off the Shelf","",HLOOKUP(SUM($F$13+IF($H$13=($H$16+1),12+IF($H$13=($H$16+2),24+IF($H$13=($H$16+3),36)))),'Master Cost Page'!$P$89:$BZ$192,21,0))</f>
      </c>
      <c r="AA18" t="s" s="291">
        <f>IF($C$14&lt;&gt;"Off the Shelf","",HLOOKUP(SUM($F$13+IF($H$13=($H$16+1),12+IF($H$13=($H$16+2),24+IF($H$13=($H$16+3),36)))),'Master Cost Page'!$P$89:$BZ$192,22,0))</f>
      </c>
      <c r="AB18" t="s" s="291">
        <f>IF($C$14&lt;&gt;"Off the Shelf","",HLOOKUP(SUM($F$13+IF($H$13=($H$16+1),12+IF($H$13=($H$16+2),24+IF($H$13=($H$16+3),36)))),'Master Cost Page'!$P$89:$BZ$192,23,0))</f>
      </c>
      <c r="AC18" t="s" s="291">
        <f>IF($C$14&lt;&gt;"Off the Shelf","",HLOOKUP(SUM($F$13+IF($H$13=($H$16+1),12+IF($H$13=($H$16+2),24+IF($H$13=($H$16+3),36)))),'Master Cost Page'!$P$89:$BZ$192,24,0))</f>
      </c>
      <c r="AD18" t="s" s="291">
        <f>IF($C$14&lt;&gt;"Off the Shelf","",HLOOKUP(SUM($F$13+IF($H$13=($H$16+1),12+IF($H$13=($H$16+2),24+IF($H$13=($H$16+3),36)))),'Master Cost Page'!$P$89:$BZ$192,25,0))</f>
      </c>
      <c r="AE18" t="s" s="291">
        <f>IF($C$14&lt;&gt;"Off the Shelf","",HLOOKUP(SUM($F$13+IF($H$13=($H$16+1),12+IF($H$13=($H$16+2),24+IF($H$13=($H$16+3),36)))),'Master Cost Page'!$P$89:$BZ$192,26,0))</f>
      </c>
      <c r="AF18" t="s" s="291">
        <f>IF($C$14&lt;&gt;"Off the Shelf","",HLOOKUP(SUM($F$13+IF($H$13=($H$16+1),12+IF($H$13=($H$16+2),24+IF($H$13=($H$16+3),36)))),'Master Cost Page'!$P$89:$BZ$192,27,0))</f>
      </c>
      <c r="AG18" t="s" s="291">
        <f>IF($C$14&lt;&gt;"Off the Shelf","",HLOOKUP(SUM($F$13+IF($H$13=($H$16+1),12+IF($H$13=($H$16+2),24+IF($H$13=($H$16+3),36)))),'Master Cost Page'!$P$89:$BZ$192,28,0))</f>
      </c>
      <c r="AH18" s="290">
        <f>SUM(V18:AG18)</f>
        <v>0</v>
      </c>
      <c r="AI18" t="s" s="291">
        <f>IF($C$14&lt;&gt;"Off the Shelf","",HLOOKUP(SUM($F$13+IF($H$13=($H$16+1),12+IF($H$13=($H$16+2),24+IF($H$13=($H$16+3),36)))),'Master Cost Page'!$P$89:$BZ$192,29,0))</f>
      </c>
      <c r="AJ18" t="s" s="291">
        <f>IF($C$14&lt;&gt;"Off the Shelf","",HLOOKUP(SUM($F$13+IF($H$13=($H$16+1),12+IF($H$13=($H$16+2),24+IF($H$13=($H$16+3),36)))),'Master Cost Page'!$P$89:$BZ$192,30,0))</f>
      </c>
      <c r="AK18" t="s" s="291">
        <f>IF($C$14&lt;&gt;"Off the Shelf","",HLOOKUP(SUM($F$13+IF($H$13=($H$16+1),12+IF($H$13=($H$16+2),24+IF($H$13=($H$16+3),36)))),'Master Cost Page'!$P$89:$BZ$192,31,0))</f>
      </c>
      <c r="AL18" t="s" s="291">
        <f>IF($C$14&lt;&gt;"Off the Shelf","",HLOOKUP(SUM($F$13+IF($H$13=($H$16+1),12+IF($H$13=($H$16+2),24+IF($H$13=($H$16+3),36)))),'Master Cost Page'!$P$89:$BZ$192,32,0))</f>
      </c>
      <c r="AM18" t="s" s="291">
        <f>IF($C$14&lt;&gt;"Off the Shelf","",HLOOKUP(SUM($F$13+IF($H$13=($H$16+1),12+IF($H$13=($H$16+2),24+IF($H$13=($H$16+3),36)))),'Master Cost Page'!$P$89:$BZ$192,33,0))</f>
      </c>
      <c r="AN18" t="s" s="291">
        <f>IF($C$14&lt;&gt;"Off the Shelf","",HLOOKUP(SUM($F$13+IF($H$13=($H$16+1),12+IF($H$13=($H$16+2),24+IF($H$13=($H$16+3),36)))),'Master Cost Page'!$P$89:$BZ$192,34,0))</f>
      </c>
      <c r="AO18" t="s" s="291">
        <f>IF($C$14&lt;&gt;"Off the Shelf","",HLOOKUP(SUM($F$13+IF($H$13=($H$16+1),12+IF($H$13=($H$16+2),24+IF($H$13=($H$16+3),36)))),'Master Cost Page'!$P$89:$BZ$192,35,0))</f>
      </c>
      <c r="AP18" t="s" s="291">
        <f>IF($C$14&lt;&gt;"Off the Shelf","",HLOOKUP(SUM($F$13+IF($H$13=($H$16+1),12+IF($H$13=($H$16+2),24+IF($H$13=($H$16+3),36)))),'Master Cost Page'!$P$89:$BZ$192,36,0))</f>
      </c>
      <c r="AQ18" t="s" s="291">
        <f>IF($C$14&lt;&gt;"Off the Shelf","",HLOOKUP(SUM($F$13+IF($H$13=($H$16+1),12+IF($H$13=($H$16+2),24+IF($H$13=($H$16+3),36)))),'Master Cost Page'!$P$89:$BZ$192,37,0))</f>
      </c>
      <c r="AR18" t="s" s="291">
        <f>IF($C$14&lt;&gt;"Off the Shelf","",HLOOKUP(SUM($F$13+IF($H$13=($H$16+1),12+IF($H$13=($H$16+2),24+IF($H$13=($H$16+3),36)))),'Master Cost Page'!$P$89:$BZ$192,38,0))</f>
      </c>
      <c r="AS18" t="s" s="291">
        <f>IF($C$14&lt;&gt;"Off the Shelf","",HLOOKUP(SUM($F$13+IF($H$13=($H$16+1),12+IF($H$13=($H$16+2),24+IF($H$13=($H$16+3),36)))),'Master Cost Page'!$P$89:$BZ$192,39,0))</f>
      </c>
      <c r="AT18" t="s" s="291">
        <f>IF($C$14&lt;&gt;"Off the Shelf","",HLOOKUP(SUM($F$13+IF($H$13=($H$16+1),12+IF($H$13=($H$16+2),24+IF($H$13=($H$16+3),36)))),'Master Cost Page'!$P$89:$BZ$192,40,0))</f>
      </c>
      <c r="AU18" s="290">
        <f>SUM(AI18:AT18)</f>
        <v>0</v>
      </c>
      <c r="AV18" s="116"/>
      <c r="AW18" s="208"/>
      <c r="AX18" s="208"/>
      <c r="AY18" s="208"/>
      <c r="AZ18" s="211"/>
    </row>
    <row r="19" ht="18" customHeight="1">
      <c r="A19" s="292"/>
      <c r="B19" s="293"/>
      <c r="C19" s="287"/>
      <c r="D19" t="s" s="288">
        <v>588</v>
      </c>
      <c r="E19" t="s" s="288">
        <v>78</v>
      </c>
      <c r="F19" s="289">
        <v>200000</v>
      </c>
      <c r="G19" s="290"/>
      <c r="H19" s="290">
        <v>200000</v>
      </c>
      <c r="I19" t="s" s="291">
        <f>IF(AND(MONTH(I17)=$F$12,YEAR(I17)=$H$12),'Master Cost Page'!$C$5,"")</f>
      </c>
      <c r="J19" s="294">
        <f>IF(AND(MONTH(J17)=$F$12,YEAR(J17)=$H$12),'Master Cost Page'!$C$5,"")</f>
        <v>200000</v>
      </c>
      <c r="K19" t="s" s="291">
        <f>IF(AND(MONTH(K17)=$F$12,YEAR(K17)=$H$12),'Master Cost Page'!$C$5,"")</f>
      </c>
      <c r="L19" t="s" s="291">
        <f>IF(AND(MONTH(L17)=$F$12,YEAR(L17)=$H$12),'Master Cost Page'!$C$5,"")</f>
      </c>
      <c r="M19" t="s" s="291">
        <f>IF(AND(MONTH(M17)=$F$12,YEAR(M17)=$H$12),'Master Cost Page'!$C$5,"")</f>
      </c>
      <c r="N19" t="s" s="291">
        <f>IF(AND(MONTH(N17)=$F$12,YEAR(N17)=$H$12),'Master Cost Page'!$C$5,"")</f>
      </c>
      <c r="O19" t="s" s="291">
        <f>IF(AND(MONTH(O17)=$F$12,YEAR(O17)=$H$12),'Master Cost Page'!$C$5,"")</f>
      </c>
      <c r="P19" t="s" s="291">
        <f>IF(AND(MONTH(P17)=$F$12,YEAR(P17)=$H$12),'Master Cost Page'!$C$5,"")</f>
      </c>
      <c r="Q19" t="s" s="291">
        <f>IF(AND(MONTH(Q17)=$F$12,YEAR(Q17)=$H$12),'Master Cost Page'!$C$5,"")</f>
      </c>
      <c r="R19" t="s" s="291">
        <f>IF(AND(MONTH(R17)=$F$12,YEAR(R17)=$H$12),'Master Cost Page'!$C$5,"")</f>
      </c>
      <c r="S19" t="s" s="291">
        <f>IF(AND(MONTH(S17)=$F$12,YEAR(S17)=$H$12),'Master Cost Page'!$C$5,"")</f>
      </c>
      <c r="T19" t="s" s="291">
        <f>IF(AND(MONTH(T17)=$F$12,YEAR(T17)=$H$12),'Master Cost Page'!$C$5,"")</f>
      </c>
      <c r="U19" s="290">
        <f>SUM(I19:T19)</f>
        <v>200000</v>
      </c>
      <c r="V19" t="s" s="291">
        <f>IF(AND(MONTH(V17)=$F$12,YEAR(V17)=$H$12),'Master Cost Page'!$C$5,"")</f>
      </c>
      <c r="W19" t="s" s="291">
        <f>IF(AND(MONTH(W17)=$F$12,YEAR(W17)=$H$12),'Master Cost Page'!$C$5,"")</f>
      </c>
      <c r="X19" t="s" s="291">
        <f>IF(AND(MONTH(X17)=$F$12,YEAR(X17)=$H$12),'Master Cost Page'!$C$5,"")</f>
      </c>
      <c r="Y19" t="s" s="291">
        <f>IF(AND(MONTH(Y17)=$F$12,YEAR(Y17)=$H$12),'Master Cost Page'!$C$5,"")</f>
      </c>
      <c r="Z19" t="s" s="291">
        <f>IF(AND(MONTH(Z17)=$F$12,YEAR(Z17)=$H$12),'Master Cost Page'!$C$5,"")</f>
      </c>
      <c r="AA19" t="s" s="291">
        <f>IF(AND(MONTH(AA17)=$F$12,YEAR(AA17)=$H$12),'Master Cost Page'!$C$5,"")</f>
      </c>
      <c r="AB19" t="s" s="291">
        <f>IF(AND(MONTH(AB17)=$F$12,YEAR(AB17)=$H$12),'Master Cost Page'!$C$5,"")</f>
      </c>
      <c r="AC19" t="s" s="291">
        <f>IF(AND(MONTH(AC17)=$F$12,YEAR(AC17)=$H$12),'Master Cost Page'!$C$5,"")</f>
      </c>
      <c r="AD19" t="s" s="291">
        <f>IF(AND(MONTH(AD17)=$F$12,YEAR(AD17)=$H$12),'Master Cost Page'!$C$5,"")</f>
      </c>
      <c r="AE19" t="s" s="291">
        <f>IF(AND(MONTH(AE17)=$F$12,YEAR(AE17)=$H$12),'Master Cost Page'!$C$5,"")</f>
      </c>
      <c r="AF19" t="s" s="291">
        <f>IF(AND(MONTH(AF17)=$F$12,YEAR(AF17)=$H$12),'Master Cost Page'!$C$5,"")</f>
      </c>
      <c r="AG19" t="s" s="291">
        <f>IF(AND(MONTH(AG17)=$F$12,YEAR(AG17)=$H$12),'Master Cost Page'!$C$5,"")</f>
      </c>
      <c r="AH19" s="290">
        <f>SUM(V19:AG19)</f>
        <v>0</v>
      </c>
      <c r="AI19" t="s" s="291">
        <f>IF(AND(MONTH(AI17)=$F$12,YEAR(AI17)=$H$12),'Master Cost Page'!$C$5,"")</f>
      </c>
      <c r="AJ19" t="s" s="291">
        <f>IF(AND(MONTH(AJ17)=$F$12,YEAR(AJ17)=$H$12),'Master Cost Page'!$C$5,"")</f>
      </c>
      <c r="AK19" t="s" s="291">
        <f>IF(AND(MONTH(AK17)=$F$12,YEAR(AK17)=$H$12),'Master Cost Page'!$C$5,"")</f>
      </c>
      <c r="AL19" t="s" s="291">
        <f>IF(AND(MONTH(AL17)=$F$12,YEAR(AL17)=$H$12),'Master Cost Page'!$C$5,"")</f>
      </c>
      <c r="AM19" t="s" s="291">
        <f>IF(AND(MONTH(AM17)=$F$12,YEAR(AM17)=$H$12),'Master Cost Page'!$C$5,"")</f>
      </c>
      <c r="AN19" t="s" s="291">
        <f>IF(AND(MONTH(AN17)=$F$12,YEAR(AN17)=$H$12),'Master Cost Page'!$C$5,"")</f>
      </c>
      <c r="AO19" t="s" s="291">
        <f>IF(AND(MONTH(AO17)=$F$12,YEAR(AO17)=$H$12),'Master Cost Page'!$C$5,"")</f>
      </c>
      <c r="AP19" t="s" s="291">
        <f>IF(AND(MONTH(AP17)=$F$12,YEAR(AP17)=$H$12),'Master Cost Page'!$C$5,"")</f>
      </c>
      <c r="AQ19" t="s" s="291">
        <f>IF(AND(MONTH(AQ17)=$F$12,YEAR(AQ17)=$H$12),'Master Cost Page'!$C$5,"")</f>
      </c>
      <c r="AR19" t="s" s="291">
        <f>IF(AND(MONTH(AR17)=$F$12,YEAR(AR17)=$H$12),'Master Cost Page'!$C$5,"")</f>
      </c>
      <c r="AS19" t="s" s="291">
        <f>IF(AND(MONTH(AS17)=$F$12,YEAR(AS17)=$H$12),'Master Cost Page'!$C$5,"")</f>
      </c>
      <c r="AT19" t="s" s="291">
        <f>IF(AND(MONTH(AT17)=$F$12,YEAR(AT17)=$H$12),'Master Cost Page'!$C$5,"")</f>
      </c>
      <c r="AU19" s="290">
        <f>SUM(AI19:AT19)</f>
        <v>0</v>
      </c>
      <c r="AV19" s="116"/>
      <c r="AW19" s="208"/>
      <c r="AX19" s="208"/>
      <c r="AY19" s="208"/>
      <c r="AZ19" s="211"/>
    </row>
    <row r="20" ht="18" customHeight="1">
      <c r="A20" s="292"/>
      <c r="B20" s="293"/>
      <c r="C20" s="287"/>
      <c r="D20" t="s" s="288">
        <v>589</v>
      </c>
      <c r="E20" t="s" s="288">
        <v>78</v>
      </c>
      <c r="F20" s="289">
        <v>7500</v>
      </c>
      <c r="G20" s="290"/>
      <c r="H20" s="290">
        <v>7500</v>
      </c>
      <c r="I20" t="s" s="291">
        <f>IF(AND(MONTH(I17)=$F$12,YEAR(I17)=$H$12),$F$20,"")</f>
      </c>
      <c r="J20" s="294">
        <f>IF(AND(MONTH(J17)=$F$12,YEAR(J17)=$H$12),$F$20,"")</f>
        <v>7500</v>
      </c>
      <c r="K20" t="s" s="291">
        <f>IF(AND(MONTH(K17)=$F$12,YEAR(K17)=$H$12),$F$20,"")</f>
      </c>
      <c r="L20" t="s" s="291">
        <f>IF(AND(MONTH(L17)=$F$12,YEAR(L17)=$H$12),$F$20,"")</f>
      </c>
      <c r="M20" t="s" s="291">
        <f>IF(AND(MONTH(M17)=$F$12,YEAR(M17)=$H$12),$F$20,"")</f>
      </c>
      <c r="N20" t="s" s="291">
        <f>IF(AND(MONTH(N17)=$F$12,YEAR(N17)=$H$12),$F$20,"")</f>
      </c>
      <c r="O20" t="s" s="291">
        <f>IF(AND(MONTH(O17)=$F$12,YEAR(O17)=$H$12),$F$20,"")</f>
      </c>
      <c r="P20" t="s" s="291">
        <f>IF(AND(MONTH(P17)=$F$12,YEAR(P17)=$H$12),$F$20,"")</f>
      </c>
      <c r="Q20" t="s" s="291">
        <f>IF(AND(MONTH(Q17)=$F$12,YEAR(Q17)=$H$12),$F$20,"")</f>
      </c>
      <c r="R20" t="s" s="291">
        <f>IF(AND(MONTH(R17)=$F$12,YEAR(R17)=$H$12),$F$20,"")</f>
      </c>
      <c r="S20" t="s" s="291">
        <f>IF(AND(MONTH(S17)=$F$12,YEAR(S17)=$H$12),$F$20,"")</f>
      </c>
      <c r="T20" t="s" s="291">
        <f>IF(AND(MONTH(T17)=$F$12,YEAR(T17)=$H$12),$F$20,"")</f>
      </c>
      <c r="U20" s="290">
        <f>SUM(I20:T20)</f>
        <v>7500</v>
      </c>
      <c r="V20" t="s" s="291">
        <f>IF(AND(MONTH(V17)=$F$12,YEAR(V17)=$H$12),$F$20,"")</f>
      </c>
      <c r="W20" t="s" s="291">
        <f>IF(AND(MONTH(W17)=$F$12,YEAR(W17)=$H$12),$F$20,"")</f>
      </c>
      <c r="X20" t="s" s="291">
        <f>IF(AND(MONTH(X17)=$F$12,YEAR(X17)=$H$12),$F$20,"")</f>
      </c>
      <c r="Y20" t="s" s="291">
        <f>IF(AND(MONTH(Y17)=$F$12,YEAR(Y17)=$H$12),$F$20,"")</f>
      </c>
      <c r="Z20" t="s" s="291">
        <f>IF(AND(MONTH(Z17)=$F$12,YEAR(Z17)=$H$12),$F$20,"")</f>
      </c>
      <c r="AA20" t="s" s="291">
        <f>IF(AND(MONTH(AA17)=$F$12,YEAR(AA17)=$H$12),$F$20,"")</f>
      </c>
      <c r="AB20" t="s" s="291">
        <f>IF(AND(MONTH(AB17)=$F$12,YEAR(AB17)=$H$12),$F$20,"")</f>
      </c>
      <c r="AC20" t="s" s="291">
        <f>IF(AND(MONTH(AC17)=$F$12,YEAR(AC17)=$H$12),$F$20,"")</f>
      </c>
      <c r="AD20" t="s" s="291">
        <f>IF(AND(MONTH(AD17)=$F$12,YEAR(AD17)=$H$12),$F$20,"")</f>
      </c>
      <c r="AE20" t="s" s="291">
        <f>IF(AND(MONTH(AE17)=$F$12,YEAR(AE17)=$H$12),$F$20,"")</f>
      </c>
      <c r="AF20" t="s" s="291">
        <f>IF(AND(MONTH(AF17)=$F$12,YEAR(AF17)=$H$12),$F$20,"")</f>
      </c>
      <c r="AG20" t="s" s="291">
        <f>IF(AND(MONTH(AG17)=$F$12,YEAR(AG17)=$H$12),$F$20,"")</f>
      </c>
      <c r="AH20" s="290">
        <f>SUM(V20:AG20)</f>
        <v>0</v>
      </c>
      <c r="AI20" t="s" s="291">
        <f>IF(AND(MONTH(AI17)=$F$12,YEAR(AI17)=$H$12),$F$20,"")</f>
      </c>
      <c r="AJ20" t="s" s="291">
        <f>IF(AND(MONTH(AJ17)=$F$12,YEAR(AJ17)=$H$12),$F$20,"")</f>
      </c>
      <c r="AK20" t="s" s="291">
        <f>IF(AND(MONTH(AK17)=$F$12,YEAR(AK17)=$H$12),$F$20,"")</f>
      </c>
      <c r="AL20" t="s" s="291">
        <f>IF(AND(MONTH(AL17)=$F$12,YEAR(AL17)=$H$12),$F$20,"")</f>
      </c>
      <c r="AM20" t="s" s="291">
        <f>IF(AND(MONTH(AM17)=$F$12,YEAR(AM17)=$H$12),$F$20,"")</f>
      </c>
      <c r="AN20" t="s" s="291">
        <f>IF(AND(MONTH(AN17)=$F$12,YEAR(AN17)=$H$12),$F$20,"")</f>
      </c>
      <c r="AO20" t="s" s="291">
        <f>IF(AND(MONTH(AO17)=$F$12,YEAR(AO17)=$H$12),$F$20,"")</f>
      </c>
      <c r="AP20" t="s" s="291">
        <f>IF(AND(MONTH(AP17)=$F$12,YEAR(AP17)=$H$12),$F$20,"")</f>
      </c>
      <c r="AQ20" t="s" s="291">
        <f>IF(AND(MONTH(AQ17)=$F$12,YEAR(AQ17)=$H$12),$F$20,"")</f>
      </c>
      <c r="AR20" t="s" s="291">
        <f>IF(AND(MONTH(AR17)=$F$12,YEAR(AR17)=$H$12),$F$20,"")</f>
      </c>
      <c r="AS20" t="s" s="291">
        <f>IF(AND(MONTH(AS17)=$F$12,YEAR(AS17)=$H$12),$F$20,"")</f>
      </c>
      <c r="AT20" t="s" s="291">
        <f>IF(AND(MONTH(AT17)=$F$12,YEAR(AT17)=$H$12),$F$20,"")</f>
      </c>
      <c r="AU20" s="290">
        <f>SUM(AI20:AT20)</f>
        <v>0</v>
      </c>
      <c r="AV20" s="116"/>
      <c r="AW20" s="208"/>
      <c r="AX20" s="208"/>
      <c r="AY20" s="208"/>
      <c r="AZ20" s="211"/>
    </row>
    <row r="21" ht="18" customHeight="1">
      <c r="A21" s="292"/>
      <c r="B21" s="293"/>
      <c r="C21" s="287"/>
      <c r="D21" t="s" s="288">
        <v>590</v>
      </c>
      <c r="E21" t="s" s="288">
        <v>78</v>
      </c>
      <c r="F21" s="289">
        <v>15000</v>
      </c>
      <c r="G21" s="290"/>
      <c r="H21" s="290">
        <v>15000</v>
      </c>
      <c r="I21" t="s" s="291">
        <f>IF(I$16="Purchase Completion",$F$21,"")</f>
      </c>
      <c r="J21" s="294">
        <f>IF(J$16="Purchase Completion",$F$21,"")</f>
        <v>15000</v>
      </c>
      <c r="K21" t="s" s="291">
        <f>IF(K$16="Purchase Completion",$F$21,"")</f>
      </c>
      <c r="L21" t="s" s="291">
        <f>IF(L$16="Purchase Completion",$F$21,"")</f>
      </c>
      <c r="M21" t="s" s="291">
        <f>IF(M$16="Purchase Completion",$F$21,"")</f>
      </c>
      <c r="N21" t="s" s="291">
        <f>IF(N$16="Purchase Completion",$F$21,"")</f>
      </c>
      <c r="O21" t="s" s="291">
        <f>IF(O$16="Purchase Completion",$F$21,"")</f>
      </c>
      <c r="P21" t="s" s="291">
        <f>IF(P$16="Purchase Completion",$F$21,"")</f>
      </c>
      <c r="Q21" t="s" s="291">
        <f>IF(Q$16="Purchase Completion",$F$21,"")</f>
      </c>
      <c r="R21" t="s" s="291">
        <f>IF(R$16="Purchase Completion",$F$21,"")</f>
      </c>
      <c r="S21" t="s" s="291">
        <f>IF(S$16="Purchase Completion",$F$21,"")</f>
      </c>
      <c r="T21" t="s" s="291">
        <f>IF(T$16="Purchase Completion",$F$21,"")</f>
      </c>
      <c r="U21" s="290">
        <f>SUM(I21:T21)</f>
        <v>15000</v>
      </c>
      <c r="V21" t="s" s="291">
        <f>IF(V$16="Purchase Completion",$F$21,"")</f>
      </c>
      <c r="W21" t="s" s="291">
        <f>IF(W$16="Purchase Completion",$F$21,"")</f>
      </c>
      <c r="X21" t="s" s="291">
        <f>IF(X$16="Purchase Completion",$F$21,"")</f>
      </c>
      <c r="Y21" t="s" s="291">
        <f>IF(Y$16="Purchase Completion",$F$21,"")</f>
      </c>
      <c r="Z21" t="s" s="291">
        <f>IF(Z$16="Purchase Completion",$F$21,"")</f>
      </c>
      <c r="AA21" t="s" s="291">
        <f>IF(AA$16="Purchase Completion",$F$21,"")</f>
      </c>
      <c r="AB21" t="s" s="291">
        <f>IF(AB$16="Purchase Completion",$F$21,"")</f>
      </c>
      <c r="AC21" t="s" s="291">
        <f>IF(AC$16="Purchase Completion",$F$21,"")</f>
      </c>
      <c r="AD21" t="s" s="291">
        <f>IF(AD$16="Purchase Completion",$F$21,"")</f>
      </c>
      <c r="AE21" t="s" s="291">
        <f>IF(AE$16="Purchase Completion",$F$21,"")</f>
      </c>
      <c r="AF21" t="s" s="291">
        <f>IF(AF$16="Purchase Completion",$F$21,"")</f>
      </c>
      <c r="AG21" t="s" s="291">
        <f>IF(AG$16="Purchase Completion",$F$21,"")</f>
      </c>
      <c r="AH21" s="290">
        <f>SUM(V21:AG21)</f>
        <v>0</v>
      </c>
      <c r="AI21" t="s" s="291">
        <f>IF(AI$16="Purchase Completion",$F$21,"")</f>
      </c>
      <c r="AJ21" t="s" s="291">
        <f>IF(AJ$16="Purchase Completion",$F$21,"")</f>
      </c>
      <c r="AK21" t="s" s="291">
        <f>IF(AK$16="Purchase Completion",$F$21,"")</f>
      </c>
      <c r="AL21" t="s" s="291">
        <f>IF(AL$16="Purchase Completion",$F$21,"")</f>
      </c>
      <c r="AM21" t="s" s="291">
        <f>IF(AM$16="Purchase Completion",$F$21,"")</f>
      </c>
      <c r="AN21" t="s" s="291">
        <f>IF(AN$16="Purchase Completion",$F$21,"")</f>
      </c>
      <c r="AO21" t="s" s="291">
        <f>IF(AO$16="Purchase Completion",$F$21,"")</f>
      </c>
      <c r="AP21" t="s" s="291">
        <f>IF(AP$16="Purchase Completion",$F$21,"")</f>
      </c>
      <c r="AQ21" t="s" s="291">
        <f>IF(AQ$16="Purchase Completion",$F$21,"")</f>
      </c>
      <c r="AR21" t="s" s="291">
        <f>IF(AR$16="Purchase Completion",$F$21,"")</f>
      </c>
      <c r="AS21" t="s" s="291">
        <f>IF(AS$16="Purchase Completion",$F$21,"")</f>
      </c>
      <c r="AT21" t="s" s="291">
        <f>IF(AT$16="Purchase Completion",$F$21,"")</f>
      </c>
      <c r="AU21" s="290">
        <f>SUM(AI21:AT21)</f>
        <v>0</v>
      </c>
      <c r="AV21" s="116"/>
      <c r="AW21" s="208"/>
      <c r="AX21" s="208"/>
      <c r="AY21" s="208"/>
      <c r="AZ21" s="211"/>
    </row>
    <row r="22" ht="18" customHeight="1">
      <c r="A22" t="s" s="285">
        <v>591</v>
      </c>
      <c r="B22" t="s" s="286">
        <v>586</v>
      </c>
      <c r="C22" s="295"/>
      <c r="D22" t="s" s="288">
        <v>592</v>
      </c>
      <c r="E22" t="s" s="288">
        <v>78</v>
      </c>
      <c r="F22" s="296">
        <v>1012770</v>
      </c>
      <c r="G22" s="290"/>
      <c r="H22" s="290"/>
      <c r="I22" s="294">
        <v>0</v>
      </c>
      <c r="J22" s="294">
        <v>0</v>
      </c>
      <c r="K22" s="294">
        <v>40511</v>
      </c>
      <c r="L22" s="294">
        <v>60766</v>
      </c>
      <c r="M22" s="294">
        <v>81022</v>
      </c>
      <c r="N22" s="294">
        <v>91149</v>
      </c>
      <c r="O22" s="294">
        <v>101277</v>
      </c>
      <c r="P22" s="294">
        <v>101277</v>
      </c>
      <c r="Q22" s="294">
        <v>101277</v>
      </c>
      <c r="R22" s="294">
        <v>101277</v>
      </c>
      <c r="S22" s="294">
        <v>91149</v>
      </c>
      <c r="T22" s="294">
        <v>81022</v>
      </c>
      <c r="U22" s="290">
        <f>SUM(I22:T22)</f>
        <v>850727</v>
      </c>
      <c r="V22" s="294">
        <v>70894</v>
      </c>
      <c r="W22" s="294">
        <v>91149</v>
      </c>
      <c r="X22" s="294">
        <v>0</v>
      </c>
      <c r="Y22" s="294">
        <v>0</v>
      </c>
      <c r="Z22" s="294">
        <v>0</v>
      </c>
      <c r="AA22" s="294">
        <v>0</v>
      </c>
      <c r="AB22" s="294">
        <v>0</v>
      </c>
      <c r="AC22" s="294">
        <v>0</v>
      </c>
      <c r="AD22" s="294">
        <v>0</v>
      </c>
      <c r="AE22" s="294">
        <v>0</v>
      </c>
      <c r="AF22" s="294">
        <v>0</v>
      </c>
      <c r="AG22" s="294">
        <v>0</v>
      </c>
      <c r="AH22" s="290">
        <f>SUM(V22:AG22)</f>
        <v>162043</v>
      </c>
      <c r="AI22" s="294">
        <v>0</v>
      </c>
      <c r="AJ22" s="294">
        <v>0</v>
      </c>
      <c r="AK22" s="294">
        <v>0</v>
      </c>
      <c r="AL22" s="294">
        <f>IF($C$14="Off the Shelf","",HLOOKUP(SUM($F$13+IF($H$13=($H$16+1),12,IF($H$13=($H$16+2),24,IF($H$13=($H$13+3),36)))),'Master Cost Page'!$P$89:$BZ$192,32))</f>
        <v>0</v>
      </c>
      <c r="AM22" s="294">
        <f>IF($C$14="Off the Shelf","",HLOOKUP(SUM($F$13+IF($H$13=($H$16+1),12,IF($H$13=($H$16+2),24,IF($H$13=($H$13+3),36)))),'Master Cost Page'!$P$89:$BZ$192,33))</f>
        <v>0</v>
      </c>
      <c r="AN22" s="294">
        <f>IF($C$14="Off the Shelf","",HLOOKUP(SUM($F$13+IF($H$13=($H$16+1),12,IF($H$13=($H$16+2),24,IF($H$13=($H$13+3),36)))),'Master Cost Page'!$P$89:$BZ$192,34))</f>
        <v>0</v>
      </c>
      <c r="AO22" s="294">
        <f>IF($C$14="Off the Shelf","",HLOOKUP(SUM($F$13+IF($H$13=($H$16+1),12,IF($H$13=($H$16+2),24,IF($H$13=($H$13+3),36)))),'Master Cost Page'!$P$89:$BZ$192,35))</f>
        <v>0</v>
      </c>
      <c r="AP22" s="294">
        <f>IF($C$14="Off the Shelf","",HLOOKUP(SUM($F$13+IF($H$13=($H$16+1),12,IF($H$13=($H$16+2),24,IF($H$13=($H$13+3),36)))),'Master Cost Page'!$P$89:$BZ$192,36))</f>
        <v>0</v>
      </c>
      <c r="AQ22" s="294">
        <f>IF($C$14="Off the Shelf","",HLOOKUP(SUM($F$13+IF($H$13=($H$16+1),12,IF($H$13=($H$16+2),24,IF($H$13=($H$13+3),36)))),'Master Cost Page'!$P$89:$BZ$192,37))</f>
        <v>0</v>
      </c>
      <c r="AR22" s="294">
        <f>IF($C$14="Off the Shelf","",HLOOKUP(SUM($F$13+IF($H$13=($H$16+1),12,IF($H$13=($H$16+2),24,IF($H$13=($H$13+3),36)))),'Master Cost Page'!$P$89:$BZ$192,38))</f>
        <v>0</v>
      </c>
      <c r="AS22" s="294">
        <f>IF($C$14="Off the Shelf","",HLOOKUP(SUM($F$13+IF($H$13=($H$16+1),12,IF($H$13=($H$16+2),24,IF($H$13=($H$13+3),36)))),'Master Cost Page'!$P$89:$BZ$192,39))</f>
        <v>0</v>
      </c>
      <c r="AT22" s="294">
        <f>IF($C$14="Off the Shelf","",HLOOKUP(SUM($F$13+IF($H$13=($H$16+1),12,IF($H$13=($H$16+2),24,IF($H$13=($H$13+3),36)))),'Master Cost Page'!$P$89:$BZ$192,40))</f>
        <v>0</v>
      </c>
      <c r="AU22" s="290">
        <f>SUM(AI22:AT22)</f>
        <v>0</v>
      </c>
      <c r="AV22" s="116"/>
      <c r="AW22" s="208"/>
      <c r="AX22" s="208"/>
      <c r="AY22" s="208"/>
      <c r="AZ22" s="211"/>
    </row>
    <row r="23" ht="18" customHeight="1">
      <c r="A23" s="292"/>
      <c r="B23" s="293"/>
      <c r="C23" s="295"/>
      <c r="D23" t="s" s="288">
        <v>593</v>
      </c>
      <c r="E23" t="s" s="288">
        <v>78</v>
      </c>
      <c r="F23" s="296">
        <v>10230</v>
      </c>
      <c r="G23" s="290"/>
      <c r="H23" s="290"/>
      <c r="I23" t="s" s="291">
        <f>IF(I$16="Practical Completion",$F$23,"")</f>
      </c>
      <c r="J23" t="s" s="291">
        <f>IF(J$16="Practical Completion",$F$23,"")</f>
      </c>
      <c r="K23" t="s" s="291">
        <f>IF(K$16="Practical Completion",$F$23,"")</f>
      </c>
      <c r="L23" t="s" s="291">
        <f>IF(L$16="Practical Completion",$F$23,"")</f>
      </c>
      <c r="M23" t="s" s="291">
        <f>IF(M$16="Practical Completion",$F$23,"")</f>
      </c>
      <c r="N23" t="s" s="291">
        <f>IF(N$16="Practical Completion",$F$23,"")</f>
      </c>
      <c r="O23" t="s" s="291">
        <f>IF(O$16="Practical Completion",$F$23,"")</f>
      </c>
      <c r="P23" t="s" s="291">
        <f>IF(P$16="Practical Completion",$F$23,"")</f>
      </c>
      <c r="Q23" t="s" s="291">
        <f>IF(Q$16="Practical Completion",$F$23,"")</f>
      </c>
      <c r="R23" t="s" s="291">
        <f>IF(R$16="Practical Completion",$F$23,"")</f>
      </c>
      <c r="S23" t="s" s="291">
        <f>IF(S$16="Practical Completion",$F$23,"")</f>
      </c>
      <c r="T23" t="s" s="291">
        <f>IF(T$16="Practical Completion",$F$23,"")</f>
      </c>
      <c r="U23" s="290"/>
      <c r="V23" t="s" s="291">
        <f>IF(V$16="Practical Completion",$F$23,"")</f>
      </c>
      <c r="W23" t="s" s="291">
        <f>IF(W$16="Practical Completion",$F$23,"")</f>
      </c>
      <c r="X23" s="294">
        <f>IF(X$16="Practical Completion",$F$23,"")</f>
        <v>10230</v>
      </c>
      <c r="Y23" t="s" s="291">
        <f>IF(Y$16="Practical Completion",$F$23,"")</f>
      </c>
      <c r="Z23" t="s" s="291">
        <f>IF(Z$16="Practical Completion",$F$23,"")</f>
      </c>
      <c r="AA23" t="s" s="291">
        <f>IF(AA$16="Practical Completion",$F$23,"")</f>
      </c>
      <c r="AB23" t="s" s="291">
        <f>IF(AB$16="Practical Completion",$F$23,"")</f>
      </c>
      <c r="AC23" t="s" s="291">
        <f>IF(AC$16="Practical Completion",$F$23,"")</f>
      </c>
      <c r="AD23" t="s" s="291">
        <f>IF(AD$16="Practical Completion",$F$23,"")</f>
      </c>
      <c r="AE23" t="s" s="291">
        <f>IF(AE$16="Practical Completion",$F$23,"")</f>
      </c>
      <c r="AF23" t="s" s="291">
        <f>IF(AF$16="Practical Completion",$F$23,"")</f>
      </c>
      <c r="AG23" t="s" s="291">
        <f>IF(AG$16="Practical Completion",$F$23,"")</f>
      </c>
      <c r="AH23" s="290">
        <f>SUM(V23:AG23)</f>
        <v>10230</v>
      </c>
      <c r="AI23" t="s" s="291">
        <f>IF(AI$16="Practical Completion",$F$23,"")</f>
      </c>
      <c r="AJ23" t="s" s="291">
        <f>IF(AJ$16="Practical Completion",$F$23,"")</f>
      </c>
      <c r="AK23" t="s" s="291">
        <f>IF(AK$16="Practical Completion",$F$23,"")</f>
      </c>
      <c r="AL23" t="s" s="291">
        <f>IF(AL$16="Practical Completion",$F$23,"")</f>
      </c>
      <c r="AM23" t="s" s="291">
        <f>IF(AM$16="Practical Completion",$F$23,"")</f>
      </c>
      <c r="AN23" t="s" s="291">
        <f>IF(AN$16="Practical Completion",$F$23,"")</f>
      </c>
      <c r="AO23" t="s" s="291">
        <f>IF(AO$16="Practical Completion",$F$23,"")</f>
      </c>
      <c r="AP23" t="s" s="291">
        <f>IF(AP$16="Practical Completion",$F$23,"")</f>
      </c>
      <c r="AQ23" t="s" s="291">
        <f>IF(AQ$16="Practical Completion",$F$23,"")</f>
      </c>
      <c r="AR23" t="s" s="291">
        <f>IF(AR$16="Practical Completion",$F$23,"")</f>
      </c>
      <c r="AS23" t="s" s="291">
        <f>IF(AS$16="Practical Completion",$F$23,"")</f>
      </c>
      <c r="AT23" t="s" s="291">
        <f>IF(AT$16="Practical Completion",$F$23,"")</f>
      </c>
      <c r="AU23" s="290">
        <f>SUM(AI23:AT23)</f>
        <v>0</v>
      </c>
      <c r="AV23" s="116"/>
      <c r="AW23" s="208"/>
      <c r="AX23" s="208"/>
      <c r="AY23" s="208"/>
      <c r="AZ23" s="211"/>
    </row>
    <row r="24" ht="18" customHeight="1">
      <c r="A24" s="292"/>
      <c r="B24" s="293"/>
      <c r="C24" s="295"/>
      <c r="D24" t="s" s="288">
        <v>594</v>
      </c>
      <c r="E24" t="s" s="288">
        <v>78</v>
      </c>
      <c r="F24" s="296">
        <v>0</v>
      </c>
      <c r="G24" s="290"/>
      <c r="H24" s="290">
        <v>0</v>
      </c>
      <c r="I24" s="294">
        <f>IF('Project Information'!$H$22="YES",'Professional Fees'!I51,0)</f>
        <v>0</v>
      </c>
      <c r="J24" s="294">
        <v>0</v>
      </c>
      <c r="K24" s="294">
        <v>0</v>
      </c>
      <c r="L24" s="294">
        <v>0</v>
      </c>
      <c r="M24" s="294">
        <f>IF('Project Information'!$H$22="YES",'Professional Fees'!M51,0)</f>
        <v>0</v>
      </c>
      <c r="N24" s="294">
        <v>0</v>
      </c>
      <c r="O24" s="294">
        <f>IF('Project Information'!$H$22="YES",'Professional Fees'!O51,0)</f>
        <v>0</v>
      </c>
      <c r="P24" s="294">
        <v>0</v>
      </c>
      <c r="Q24" s="294">
        <v>0</v>
      </c>
      <c r="R24" s="294">
        <v>0</v>
      </c>
      <c r="S24" s="294">
        <f>IF('Project Information'!$H$22="YES",'Professional Fees'!S51,0)</f>
        <v>0</v>
      </c>
      <c r="T24" s="294">
        <f>IF('Project Information'!$H$22="YES",'Professional Fees'!T51,0)</f>
        <v>0</v>
      </c>
      <c r="U24" s="290">
        <f>SUM(I24:T24)</f>
        <v>0</v>
      </c>
      <c r="V24" s="294">
        <f>IF('Project Information'!$H$22="YES",'Professional Fees'!U51,0)</f>
        <v>0</v>
      </c>
      <c r="W24" s="294">
        <f>IF('Project Information'!$H$22="YES",'Professional Fees'!V51,0)</f>
        <v>0</v>
      </c>
      <c r="X24" s="294">
        <f>IF('Project Information'!$H$22="YES",'Professional Fees'!W51,0)</f>
        <v>0</v>
      </c>
      <c r="Y24" s="294">
        <f>IF('Project Information'!$H$22="YES",'Professional Fees'!X51,0)</f>
        <v>0</v>
      </c>
      <c r="Z24" s="294">
        <f>IF('Project Information'!$H$22="YES",'Professional Fees'!Y51,0)</f>
        <v>0</v>
      </c>
      <c r="AA24" s="294">
        <f>IF('Project Information'!$H$22="YES",'Professional Fees'!Z51,0)</f>
        <v>0</v>
      </c>
      <c r="AB24" s="294">
        <f>IF('Project Information'!$H$22="YES",'Professional Fees'!AA51,0)</f>
        <v>0</v>
      </c>
      <c r="AC24" s="294">
        <f>IF('Project Information'!$H$22="YES",'Professional Fees'!AB51,0)</f>
        <v>0</v>
      </c>
      <c r="AD24" s="294">
        <f>IF('Project Information'!$H$22="YES",'Professional Fees'!AC51,0)</f>
        <v>0</v>
      </c>
      <c r="AE24" s="294">
        <f>IF('Project Information'!$H$22="YES",'Professional Fees'!AD51,0)</f>
        <v>0</v>
      </c>
      <c r="AF24" s="294">
        <f>IF('Project Information'!$H$22="YES",'Professional Fees'!AE51,0)</f>
        <v>0</v>
      </c>
      <c r="AG24" s="294">
        <f>IF('Project Information'!$H$22="YES",'Professional Fees'!AF51,0)</f>
        <v>0</v>
      </c>
      <c r="AH24" s="290">
        <f>SUM(V24:AG24)</f>
        <v>0</v>
      </c>
      <c r="AI24" s="294">
        <f>IF('Project Information'!$H$22="YES",'Professional Fees'!AG51,0)</f>
        <v>0</v>
      </c>
      <c r="AJ24" s="294">
        <f>IF('Project Information'!$H$22="YES",'Professional Fees'!AH51,0)</f>
        <v>0</v>
      </c>
      <c r="AK24" s="294">
        <f>IF('Project Information'!$H$22="YES",'Professional Fees'!AI51,0)</f>
        <v>0</v>
      </c>
      <c r="AL24" s="294">
        <f>IF('Project Information'!$H$22="YES",'Professional Fees'!AJ51,0)</f>
        <v>0</v>
      </c>
      <c r="AM24" s="294">
        <f>IF('Project Information'!$H$22="YES",'Professional Fees'!AK51,0)</f>
        <v>0</v>
      </c>
      <c r="AN24" s="294">
        <f>IF('Project Information'!$H$22="YES",'Professional Fees'!AL51,0)</f>
        <v>0</v>
      </c>
      <c r="AO24" s="294">
        <f>IF('Project Information'!$H$22="YES",'Professional Fees'!AM51,0)</f>
        <v>0</v>
      </c>
      <c r="AP24" s="294">
        <f>IF('Project Information'!$H$22="YES",'Professional Fees'!AN51,0)</f>
        <v>0</v>
      </c>
      <c r="AQ24" s="294">
        <f>IF('Project Information'!$H$22="YES",'Professional Fees'!AO51,0)</f>
        <v>0</v>
      </c>
      <c r="AR24" s="294">
        <f>IF('Project Information'!$H$22="YES",'Professional Fees'!AP51,0)</f>
        <v>0</v>
      </c>
      <c r="AS24" s="294">
        <f>IF('Project Information'!$H$22="YES",'Professional Fees'!AQ51,0)</f>
        <v>0</v>
      </c>
      <c r="AT24" s="294">
        <f>IF('Project Information'!$H$22="YES",'Professional Fees'!AR51,0)</f>
        <v>0</v>
      </c>
      <c r="AU24" s="290">
        <f>SUM(AI24:AT24)</f>
        <v>0</v>
      </c>
      <c r="AV24" s="116"/>
      <c r="AW24" s="208"/>
      <c r="AX24" s="208"/>
      <c r="AY24" s="208"/>
      <c r="AZ24" s="211"/>
    </row>
    <row r="25" ht="18" customHeight="1">
      <c r="A25" t="s" s="285">
        <v>595</v>
      </c>
      <c r="B25" t="s" s="286">
        <v>586</v>
      </c>
      <c r="C25" s="287"/>
      <c r="D25" t="s" s="288">
        <v>596</v>
      </c>
      <c r="E25" t="s" s="288">
        <v>78</v>
      </c>
      <c r="F25" s="296">
        <v>127875</v>
      </c>
      <c r="G25" s="290"/>
      <c r="H25" s="290">
        <v>127875</v>
      </c>
      <c r="I25" t="s" s="291">
        <f>IF(J$14="Equal",$F$25,IF(J$15="Start on Site",$F$25*0.75,IF(I$16="Practical Completion",$F$25*0.25,"")))</f>
      </c>
      <c r="J25" t="s" s="291">
        <f>IF(K$14="Equal",$F$25,IF(K$15="Start on Site",$F$25*0.75,IF(J$16="Practical Completion",$F$25*0.25,"")))</f>
      </c>
      <c r="K25" s="294">
        <v>95906</v>
      </c>
      <c r="L25" s="294">
        <v>0</v>
      </c>
      <c r="M25" t="s" s="291">
        <f>IF(N$14="Equal",$F$25,IF(N$15="Start on Site",$F$25*0.75,IF(M$16="Practical Completion",$F$25*0.25,"")))</f>
      </c>
      <c r="N25" t="s" s="291">
        <f>IF(O$14="Equal",$F$25,IF(O$15="Start on Site",$F$25*0.75,IF(N$16="Practical Completion",$F$25*0.25,"")))</f>
      </c>
      <c r="O25" t="s" s="291">
        <f>IF(P$14="Equal",$F$25,IF(P$15="Start on Site",$F$25*0.75,IF(O$16="Practical Completion",$F$25*0.25,"")))</f>
      </c>
      <c r="P25" t="s" s="291">
        <f>IF(Q$14="Equal",$F$25,IF(Q$15="Start on Site",$F$25*0.75,IF(P$16="Practical Completion",$F$25*0.25,"")))</f>
      </c>
      <c r="Q25" t="s" s="291">
        <f>IF(R$14="Equal",$F$25,IF(R$15="Start on Site",$F$25*0.75,IF(Q$16="Practical Completion",$F$25*0.25,"")))</f>
      </c>
      <c r="R25" t="s" s="291">
        <f>IF(S$14="Equal",$F$25,IF(S$15="Start on Site",$F$25*0.75,IF(R$16="Practical Completion",$F$25*0.25,"")))</f>
      </c>
      <c r="S25" t="s" s="291">
        <f>IF(T$14="Equal",$F$25,IF(T$15="Start on Site",$F$25*0.75,IF(S$16="Practical Completion",$F$25*0.25,"")))</f>
      </c>
      <c r="T25" t="s" s="291">
        <f>IF(U$14="Equal",$F$25,IF(U$15="Start on Site",$F$25*0.75,IF(T$16="Practical Completion",$F$25*0.25,"")))</f>
      </c>
      <c r="U25" s="290">
        <f>SUM(I25:T25)</f>
        <v>95906</v>
      </c>
      <c r="V25" t="s" s="291">
        <f>IF(W$14="Equal",$F$25,IF(W$15="Start on Site",$F$25*0.75,IF(V$16="Practical Completion",$F$25*0.25,"")))</f>
      </c>
      <c r="W25" t="s" s="291">
        <f>IF(X$14="Equal",$F$25,IF(X$15="Start on Site",$F$25*0.75,IF(W$16="Practical Completion",$F$25*0.25,"")))</f>
      </c>
      <c r="X25" s="294">
        <f>IF(Y$14="Equal",$F$25,IF(Y$15="Start on Site",$F$25*0.75,IF(X$16="Practical Completion",$F$25*0.25,"")))</f>
        <v>31968.75</v>
      </c>
      <c r="Y25" t="s" s="291">
        <f>IF(Z$14="Equal",$F$25,IF(Z$15="Start on Site",$F$25*0.75,IF(Y$16="Practical Completion",$F$25*0.25,"")))</f>
      </c>
      <c r="Z25" t="s" s="291">
        <f>IF(AA$14="Equal",$F$25,IF(AA$15="Start on Site",$F$25*0.75,IF(Z$16="Practical Completion",$F$25*0.25,"")))</f>
      </c>
      <c r="AA25" t="s" s="291">
        <f>IF(AB$14="Equal",$F$25,IF(AB$15="Start on Site",$F$25*0.75,IF(AA$16="Practical Completion",$F$25*0.25,"")))</f>
      </c>
      <c r="AB25" t="s" s="291">
        <f>IF(AC$14="Equal",$F$25,IF(AC$15="Start on Site",$F$25*0.75,IF(AB$16="Practical Completion",$F$25*0.25,"")))</f>
      </c>
      <c r="AC25" t="s" s="291">
        <f>IF(AD$14="Equal",$F$25,IF(AD$15="Start on Site",$F$25*0.75,IF(AC$16="Practical Completion",$F$25*0.25,"")))</f>
      </c>
      <c r="AD25" t="s" s="291">
        <f>IF(AE$14="Equal",$F$25,IF(AE$15="Start on Site",$F$25*0.75,IF(AD$16="Practical Completion",$F$25*0.25,"")))</f>
      </c>
      <c r="AE25" t="s" s="291">
        <f>IF(AF$14="Equal",$F$25,IF(AF$15="Start on Site",$F$25*0.75,IF(AE$16="Practical Completion",$F$25*0.25,"")))</f>
      </c>
      <c r="AF25" t="s" s="291">
        <f>IF(AG$14="Equal",$F$25,IF(AG$15="Start on Site",$F$25*0.75,IF(AF$16="Practical Completion",$F$25*0.25,"")))</f>
      </c>
      <c r="AG25" t="s" s="291">
        <f>IF(AH$14="Equal",$F$25,IF(AH$15="Start on Site",$F$25*0.75,IF(AG$16="Practical Completion",$F$25*0.25,"")))</f>
      </c>
      <c r="AH25" s="290">
        <f>SUM(V25:AG25)</f>
        <v>31968.75</v>
      </c>
      <c r="AI25" t="s" s="291">
        <f>IF(AJ$14="Equal",$F$25,IF(AJ$15="Start on Site",$F$25*0.75,IF(AI$16="Practical Completion",$F$25*0.25,"")))</f>
      </c>
      <c r="AJ25" t="s" s="291">
        <f>IF(AK$14="Equal",$F$25,IF(AK$15="Start on Site",$F$25*0.75,IF(AJ$16="Practical Completion",$F$25*0.25,"")))</f>
      </c>
      <c r="AK25" t="s" s="291">
        <f>IF(AL$14="Equal",$F$25,IF(AL$15="Start on Site",$F$25*0.75,IF(AK$16="Practical Completion",$F$25*0.25,"")))</f>
      </c>
      <c r="AL25" t="s" s="291">
        <f>IF(AM$14="Equal",$F$25,IF(AM$15="Start on Site",$F$25*0.75,IF(AL$16="Practical Completion",$F$25*0.25,"")))</f>
      </c>
      <c r="AM25" t="s" s="291">
        <f>IF(AN$14="Equal",$F$25,IF(AN$15="Start on Site",$F$25*0.75,IF(AM$16="Practical Completion",$F$25*0.25,"")))</f>
      </c>
      <c r="AN25" t="s" s="291">
        <f>IF(AO$14="Equal",$F$25,IF(AO$15="Start on Site",$F$25*0.75,IF(AN$16="Practical Completion",$F$25*0.25,"")))</f>
      </c>
      <c r="AO25" t="s" s="291">
        <f>IF(AP$14="Equal",$F$25,IF(AP$15="Start on Site",$F$25*0.75,IF(AO$16="Practical Completion",$F$25*0.25,"")))</f>
      </c>
      <c r="AP25" t="s" s="291">
        <f>IF(AQ$14="Equal",$F$25,IF(AQ$15="Start on Site",$F$25*0.75,IF(AP$16="Practical Completion",$F$25*0.25,"")))</f>
      </c>
      <c r="AQ25" t="s" s="291">
        <f>IF(AR$14="Equal",$F$25,IF(AR$15="Start on Site",$F$25*0.75,IF(AQ$16="Practical Completion",$F$25*0.25,"")))</f>
      </c>
      <c r="AR25" t="s" s="291">
        <f>IF(AS$14="Equal",$F$25,IF(AS$15="Start on Site",$F$25*0.75,IF(AR$16="Practical Completion",$F$25*0.25,"")))</f>
      </c>
      <c r="AS25" t="s" s="291">
        <f>IF(AT$14="Equal",$F$25,IF(AT$15="Start on Site",$F$25*0.75,IF(AS$16="Practical Completion",$F$25*0.25,"")))</f>
      </c>
      <c r="AT25" t="s" s="291">
        <f>IF(AU$14="Equal",$F$25,IF(AU$15="Start on Site",$F$25*0.75,IF(AT$16="Practical Completion",$F$25*0.25,"")))</f>
      </c>
      <c r="AU25" s="290">
        <f>SUM(AI25:AT25)</f>
        <v>0</v>
      </c>
      <c r="AV25" s="116"/>
      <c r="AW25" s="208"/>
      <c r="AX25" s="208"/>
      <c r="AY25" s="208"/>
      <c r="AZ25" s="211"/>
    </row>
    <row r="26" ht="18" customHeight="1">
      <c r="A26" t="s" s="285">
        <v>595</v>
      </c>
      <c r="B26" t="s" s="286">
        <v>586</v>
      </c>
      <c r="C26" s="287"/>
      <c r="D26" t="s" s="288">
        <v>597</v>
      </c>
      <c r="E26" t="s" s="288">
        <v>78</v>
      </c>
      <c r="F26" s="289">
        <v>0</v>
      </c>
      <c r="G26" s="290"/>
      <c r="H26" s="290">
        <v>0</v>
      </c>
      <c r="I26" t="s" s="291">
        <f>IF(J$15="Start on Site",$F$26,"")</f>
      </c>
      <c r="J26" t="s" s="291">
        <f>IF(K$15="Start on Site",$F$26,"")</f>
      </c>
      <c r="K26" s="294">
        <f>IF(L$15="Start on Site",$F$26,"")</f>
        <v>0</v>
      </c>
      <c r="L26" t="s" s="291">
        <f>IF(M$15="Start on Site",$F$26,"")</f>
      </c>
      <c r="M26" t="s" s="291">
        <f>IF(N$15="Start on Site",$F$26,"")</f>
      </c>
      <c r="N26" t="s" s="291">
        <f>IF(O$15="Start on Site",$F$26,"")</f>
      </c>
      <c r="O26" t="s" s="291">
        <f>IF(P$15="Start on Site",$F$26,"")</f>
      </c>
      <c r="P26" t="s" s="291">
        <f>IF(Q$15="Start on Site",$F$26,"")</f>
      </c>
      <c r="Q26" t="s" s="291">
        <f>IF(R$15="Start on Site",$F$26,"")</f>
      </c>
      <c r="R26" t="s" s="291">
        <f>IF(S$15="Start on Site",$F$26,"")</f>
      </c>
      <c r="S26" t="s" s="291">
        <f>IF(T$15="Start on Site",$F$26,"")</f>
      </c>
      <c r="T26" t="s" s="291">
        <f>IF(U$15="Start on Site",$F$26,"")</f>
      </c>
      <c r="U26" s="290">
        <f>SUM(I26:T26)</f>
        <v>0</v>
      </c>
      <c r="V26" t="s" s="291">
        <f>IF(W$15="Start on Site",$F$26,"")</f>
      </c>
      <c r="W26" t="s" s="291">
        <f>IF(X$15="Start on Site",$F$26,"")</f>
      </c>
      <c r="X26" t="s" s="291">
        <f>IF(Y$15="Start on Site",$F$26,"")</f>
      </c>
      <c r="Y26" t="s" s="291">
        <f>IF(Z$15="Start on Site",$F$26,"")</f>
      </c>
      <c r="Z26" t="s" s="291">
        <f>IF(AA$15="Start on Site",$F$26,"")</f>
      </c>
      <c r="AA26" t="s" s="291">
        <f>IF(AB$15="Start on Site",$F$26,"")</f>
      </c>
      <c r="AB26" t="s" s="291">
        <f>IF(AC$15="Start on Site",$F$26,"")</f>
      </c>
      <c r="AC26" t="s" s="291">
        <f>IF(AD$15="Start on Site",$F$26,"")</f>
      </c>
      <c r="AD26" t="s" s="291">
        <f>IF(AE$15="Start on Site",$F$26,"")</f>
      </c>
      <c r="AE26" t="s" s="291">
        <f>IF(AF$15="Start on Site",$F$26,"")</f>
      </c>
      <c r="AF26" t="s" s="291">
        <f>IF(AG$15="Start on Site",$F$26,"")</f>
      </c>
      <c r="AG26" t="s" s="291">
        <f>IF(AH$15="Start on Site",$F$26,"")</f>
      </c>
      <c r="AH26" s="290">
        <f>SUM(V26:AG26)</f>
        <v>0</v>
      </c>
      <c r="AI26" t="s" s="291">
        <f>IF(AJ$15="Start on Site",$F$26,"")</f>
      </c>
      <c r="AJ26" t="s" s="291">
        <f>IF(AK$15="Start on Site",$F$26,"")</f>
      </c>
      <c r="AK26" t="s" s="291">
        <f>IF(AL$15="Start on Site",$F$26,"")</f>
      </c>
      <c r="AL26" t="s" s="291">
        <f>IF(AM$15="Start on Site",$F$26,"")</f>
      </c>
      <c r="AM26" t="s" s="291">
        <f>IF(AN$15="Start on Site",$F$26,"")</f>
      </c>
      <c r="AN26" t="s" s="291">
        <f>IF(AO$15="Start on Site",$F$26,"")</f>
      </c>
      <c r="AO26" t="s" s="291">
        <f>IF(AP$15="Start on Site",$F$26,"")</f>
      </c>
      <c r="AP26" t="s" s="291">
        <f>IF(AQ$15="Start on Site",$F$26,"")</f>
      </c>
      <c r="AQ26" t="s" s="291">
        <f>IF(AR$15="Start on Site",$F$26,"")</f>
      </c>
      <c r="AR26" t="s" s="291">
        <f>IF(AS$15="Start on Site",$F$26,"")</f>
      </c>
      <c r="AS26" t="s" s="291">
        <f>IF(AT$15="Start on Site",$F$26,"")</f>
      </c>
      <c r="AT26" t="s" s="291">
        <f>IF(AU$15="Start on Site",$F$26,"")</f>
      </c>
      <c r="AU26" s="290">
        <f>SUM(AI26:AT26)</f>
        <v>0</v>
      </c>
      <c r="AV26" s="116"/>
      <c r="AW26" s="208"/>
      <c r="AX26" s="208"/>
      <c r="AY26" s="208"/>
      <c r="AZ26" s="211"/>
    </row>
    <row r="27" ht="18" customHeight="1">
      <c r="A27" t="s" s="285">
        <v>595</v>
      </c>
      <c r="B27" t="s" s="286">
        <v>586</v>
      </c>
      <c r="C27" s="287"/>
      <c r="D27" t="s" s="288">
        <v>598</v>
      </c>
      <c r="E27" t="s" s="288">
        <v>78</v>
      </c>
      <c r="F27" s="289">
        <v>4500</v>
      </c>
      <c r="G27" s="290"/>
      <c r="H27" s="290">
        <v>4500</v>
      </c>
      <c r="I27" t="s" s="291">
        <f>IF(I$16="Practical Completion",$F$27,"")</f>
      </c>
      <c r="J27" t="s" s="291">
        <f>IF(J$16="Practical Completion",$F$27,"")</f>
      </c>
      <c r="K27" t="s" s="291">
        <f>IF(K$16="Practical Completion",$F$27,"")</f>
      </c>
      <c r="L27" t="s" s="291">
        <f>IF(L$16="Practical Completion",$F$27,"")</f>
      </c>
      <c r="M27" t="s" s="291">
        <f>IF(M$16="Practical Completion",$F$27,"")</f>
      </c>
      <c r="N27" t="s" s="291">
        <f>IF(N$16="Practical Completion",$F$27,"")</f>
      </c>
      <c r="O27" t="s" s="291">
        <f>IF(O$16="Practical Completion",$F$27,"")</f>
      </c>
      <c r="P27" t="s" s="291">
        <f>IF(P$16="Practical Completion",$F$27,"")</f>
      </c>
      <c r="Q27" t="s" s="291">
        <f>IF(Q$16="Practical Completion",$F$27,"")</f>
      </c>
      <c r="R27" t="s" s="291">
        <f>IF(R$16="Practical Completion",$F$27,"")</f>
      </c>
      <c r="S27" t="s" s="291">
        <f>IF(S$16="Practical Completion",$F$27,"")</f>
      </c>
      <c r="T27" t="s" s="291">
        <f>IF(T$16="Practical Completion",$F$27,"")</f>
      </c>
      <c r="U27" s="290">
        <f>SUM(I27:T27)</f>
        <v>0</v>
      </c>
      <c r="V27" t="s" s="291">
        <f>IF(V$16="Practical Completion",$F$27,"")</f>
      </c>
      <c r="W27" t="s" s="291">
        <f>IF(W$16="Practical Completion",$F$27,"")</f>
      </c>
      <c r="X27" s="294">
        <f>IF(X$16="Practical Completion",$F$27,"")</f>
        <v>4500</v>
      </c>
      <c r="Y27" t="s" s="291">
        <f>IF(Y$16="Practical Completion",$F$27,"")</f>
      </c>
      <c r="Z27" t="s" s="291">
        <f>IF(Z$16="Practical Completion",$F$27,"")</f>
      </c>
      <c r="AA27" t="s" s="291">
        <f>IF(AA$16="Practical Completion",$F$27,"")</f>
      </c>
      <c r="AB27" t="s" s="291">
        <f>IF(AB$16="Practical Completion",$F$27,"")</f>
      </c>
      <c r="AC27" t="s" s="291">
        <f>IF(AC$16="Practical Completion",$F$27,"")</f>
      </c>
      <c r="AD27" t="s" s="291">
        <f>IF(AD$16="Practical Completion",$F$27,"")</f>
      </c>
      <c r="AE27" t="s" s="291">
        <f>IF(AE$16="Practical Completion",$F$27,"")</f>
      </c>
      <c r="AF27" t="s" s="291">
        <f>IF(AF$16="Practical Completion",$F$27,"")</f>
      </c>
      <c r="AG27" t="s" s="291">
        <f>IF(AG$16="Practical Completion",$F$27,"")</f>
      </c>
      <c r="AH27" s="290">
        <f>SUM(V27:AG27)</f>
        <v>4500</v>
      </c>
      <c r="AI27" t="s" s="291">
        <f>IF(AI$16="Practical Completion",$F$27,"")</f>
      </c>
      <c r="AJ27" t="s" s="291">
        <f>IF(AJ$16="Practical Completion",$F$27,"")</f>
      </c>
      <c r="AK27" t="s" s="291">
        <f>IF(AK$16="Practical Completion",$F$27,"")</f>
      </c>
      <c r="AL27" t="s" s="291">
        <f>IF(AL$16="Practical Completion",$F$27,"")</f>
      </c>
      <c r="AM27" t="s" s="291">
        <f>IF(AM$16="Practical Completion",$F$27,"")</f>
      </c>
      <c r="AN27" t="s" s="291">
        <f>IF(AN$16="Practical Completion",$F$27,"")</f>
      </c>
      <c r="AO27" t="s" s="291">
        <f>IF(AO$16="Practical Completion",$F$27,"")</f>
      </c>
      <c r="AP27" t="s" s="291">
        <f>IF(AP$16="Practical Completion",$F$27,"")</f>
      </c>
      <c r="AQ27" t="s" s="291">
        <f>IF(AQ$16="Practical Completion",$F$27,"")</f>
      </c>
      <c r="AR27" t="s" s="291">
        <f>IF(AR$16="Practical Completion",$F$27,"")</f>
      </c>
      <c r="AS27" t="s" s="291">
        <f>IF(AS$16="Practical Completion",$F$27,"")</f>
      </c>
      <c r="AT27" t="s" s="291">
        <f>IF(AT$16="Practical Completion",$F$27,"")</f>
      </c>
      <c r="AU27" s="290">
        <f>SUM(AI27:AT27)</f>
        <v>0</v>
      </c>
      <c r="AV27" s="116"/>
      <c r="AW27" s="208"/>
      <c r="AX27" s="208"/>
      <c r="AY27" s="208"/>
      <c r="AZ27" s="211"/>
    </row>
    <row r="28" ht="18" customHeight="1">
      <c r="A28" t="s" s="285">
        <v>595</v>
      </c>
      <c r="B28" t="s" s="286">
        <v>586</v>
      </c>
      <c r="C28" s="287"/>
      <c r="D28" t="s" s="288">
        <v>599</v>
      </c>
      <c r="E28" t="s" s="288">
        <v>78</v>
      </c>
      <c r="F28" s="289">
        <v>5000</v>
      </c>
      <c r="G28" s="290"/>
      <c r="H28" s="290">
        <v>5000</v>
      </c>
      <c r="I28" t="s" s="291">
        <f>IF(J$14="Equal",$F$28,IF(J$15="Start on Site",$F$28*0.75,IF(I$16="Practical Completion",$F$28*0.25,"")))</f>
      </c>
      <c r="J28" t="s" s="291">
        <f>IF(K$14="Equal",$F$28,IF(K$15="Start on Site",$F$28*0.75,IF(J$16="Practical Completion",$F$28*0.25,"")))</f>
      </c>
      <c r="K28" s="294">
        <f>IF(L$14="Equal",$F$28,IF(L$15="Start on Site",$F$28*0.75,IF(K$16="Practical Completion",$F$28*0.25,"")))</f>
        <v>3750</v>
      </c>
      <c r="L28" t="s" s="291">
        <f>IF(M$14="Equal",$F$28,IF(M$15="Start on Site",$F$28*0.75,IF(L$16="Practical Completion",$F$28*0.25,"")))</f>
      </c>
      <c r="M28" t="s" s="291">
        <f>IF(N$14="Equal",$F$28,IF(N$15="Start on Site",$F$28*0.75,IF(M$16="Practical Completion",$F$28*0.25,"")))</f>
      </c>
      <c r="N28" t="s" s="291">
        <f>IF(O$14="Equal",$F$28,IF(O$15="Start on Site",$F$28*0.75,IF(N$16="Practical Completion",$F$28*0.25,"")))</f>
      </c>
      <c r="O28" t="s" s="291">
        <f>IF(P$14="Equal",$F$28,IF(P$15="Start on Site",$F$28*0.75,IF(O$16="Practical Completion",$F$28*0.25,"")))</f>
      </c>
      <c r="P28" t="s" s="291">
        <f>IF(Q$14="Equal",$F$28,IF(Q$15="Start on Site",$F$28*0.75,IF(P$16="Practical Completion",$F$28*0.25,"")))</f>
      </c>
      <c r="Q28" t="s" s="291">
        <f>IF(R$14="Equal",$F$28,IF(R$15="Start on Site",$F$28*0.75,IF(Q$16="Practical Completion",$F$28*0.25,"")))</f>
      </c>
      <c r="R28" t="s" s="291">
        <f>IF(S$14="Equal",$F$28,IF(S$15="Start on Site",$F$28*0.75,IF(R$16="Practical Completion",$F$28*0.25,"")))</f>
      </c>
      <c r="S28" t="s" s="291">
        <f>IF(T$14="Equal",$F$28,IF(T$15="Start on Site",$F$28*0.75,IF(S$16="Practical Completion",$F$28*0.25,"")))</f>
      </c>
      <c r="T28" t="s" s="291">
        <f>IF(U$14="Equal",$F$28,IF(U$15="Start on Site",$F$28*0.75,IF(T$16="Practical Completion",$F$28*0.25,"")))</f>
      </c>
      <c r="U28" s="290">
        <f>SUM(I28:T28)</f>
        <v>3750</v>
      </c>
      <c r="V28" t="s" s="291">
        <f>IF(W$14="Equal",$F$28,IF(W$15="Start on Site",$F$28*0.75,IF(V$16="Practical Completion",$F$28*0.25,"")))</f>
      </c>
      <c r="W28" t="s" s="291">
        <f>IF(X$14="Equal",$F$28,IF(X$15="Start on Site",$F$28*0.75,IF(W$16="Practical Completion",$F$28*0.25,"")))</f>
      </c>
      <c r="X28" s="294">
        <f>IF(Y$14="Equal",$F$28,IF(Y$15="Start on Site",$F$28*0.75,IF(X$16="Practical Completion",$F$28*0.25,"")))</f>
        <v>1250</v>
      </c>
      <c r="Y28" t="s" s="291">
        <f>IF(Z$14="Equal",$F$28,IF(Z$15="Start on Site",$F$28*0.75,IF(Y$16="Practical Completion",$F$28*0.25,"")))</f>
      </c>
      <c r="Z28" t="s" s="291">
        <f>IF(AA$14="Equal",$F$28,IF(AA$15="Start on Site",$F$28*0.75,IF(Z$16="Practical Completion",$F$28*0.25,"")))</f>
      </c>
      <c r="AA28" t="s" s="291">
        <f>IF(AB$14="Equal",$F$28,IF(AB$15="Start on Site",$F$28*0.75,IF(AA$16="Practical Completion",$F$28*0.25,"")))</f>
      </c>
      <c r="AB28" t="s" s="291">
        <f>IF(AC$14="Equal",$F$28,IF(AC$15="Start on Site",$F$28*0.75,IF(AB$16="Practical Completion",$F$28*0.25,"")))</f>
      </c>
      <c r="AC28" t="s" s="291">
        <f>IF(AD$14="Equal",$F$28,IF(AD$15="Start on Site",$F$28*0.75,IF(AC$16="Practical Completion",$F$28*0.25,"")))</f>
      </c>
      <c r="AD28" t="s" s="291">
        <f>IF(AE$14="Equal",$F$28,IF(AE$15="Start on Site",$F$28*0.75,IF(AD$16="Practical Completion",$F$28*0.25,"")))</f>
      </c>
      <c r="AE28" t="s" s="291">
        <f>IF(AF$14="Equal",$F$28,IF(AF$15="Start on Site",$F$28*0.75,IF(AE$16="Practical Completion",$F$28*0.25,"")))</f>
      </c>
      <c r="AF28" t="s" s="291">
        <f>IF(AG$14="Equal",$F$28,IF(AG$15="Start on Site",$F$28*0.75,IF(AF$16="Practical Completion",$F$28*0.25,"")))</f>
      </c>
      <c r="AG28" t="s" s="291">
        <f>IF(AH$14="Equal",$F$28,IF(AH$15="Start on Site",$F$28*0.75,IF(AG$16="Practical Completion",$F$28*0.25,"")))</f>
      </c>
      <c r="AH28" s="290">
        <f>SUM(V28:AG28)</f>
        <v>1250</v>
      </c>
      <c r="AI28" t="s" s="291">
        <f>IF(AJ$14="Equal",$F$28,IF(AJ$15="Start on Site",$F$28*0.75,IF(AI$16="Practical Completion",$F$28*0.25,"")))</f>
      </c>
      <c r="AJ28" t="s" s="291">
        <f>IF(AK$14="Equal",$F$28,IF(AK$15="Start on Site",$F$28*0.75,IF(AJ$16="Practical Completion",$F$28*0.25,"")))</f>
      </c>
      <c r="AK28" t="s" s="291">
        <f>IF(AL$14="Equal",$F$28,IF(AL$15="Start on Site",$F$28*0.75,IF(AK$16="Practical Completion",$F$28*0.25,"")))</f>
      </c>
      <c r="AL28" t="s" s="291">
        <f>IF(AM$14="Equal",$F$28,IF(AM$15="Start on Site",$F$28*0.75,IF(AL$16="Practical Completion",$F$28*0.25,"")))</f>
      </c>
      <c r="AM28" t="s" s="291">
        <f>IF(AN$14="Equal",$F$28,IF(AN$15="Start on Site",$F$28*0.75,IF(AM$16="Practical Completion",$F$28*0.25,"")))</f>
      </c>
      <c r="AN28" t="s" s="291">
        <f>IF(AO$14="Equal",$F$28,IF(AO$15="Start on Site",$F$28*0.75,IF(AN$16="Practical Completion",$F$28*0.25,"")))</f>
      </c>
      <c r="AO28" t="s" s="291">
        <f>IF(AP$14="Equal",$F$28,IF(AP$15="Start on Site",$F$28*0.75,IF(AO$16="Practical Completion",$F$28*0.25,"")))</f>
      </c>
      <c r="AP28" t="s" s="291">
        <f>IF(AQ$14="Equal",$F$28,IF(AQ$15="Start on Site",$F$28*0.75,IF(AP$16="Practical Completion",$F$28*0.25,"")))</f>
      </c>
      <c r="AQ28" t="s" s="291">
        <f>IF(AR$14="Equal",$F$28,IF(AR$15="Start on Site",$F$28*0.75,IF(AQ$16="Practical Completion",$F$28*0.25,"")))</f>
      </c>
      <c r="AR28" t="s" s="291">
        <f>IF(AS$14="Equal",$F$28,IF(AS$15="Start on Site",$F$28*0.75,IF(AR$16="Practical Completion",$F$28*0.25,"")))</f>
      </c>
      <c r="AS28" t="s" s="291">
        <f>IF(AT$14="Equal",$F$28,IF(AT$15="Start on Site",$F$28*0.75,IF(AS$16="Practical Completion",$F$28*0.25,"")))</f>
      </c>
      <c r="AT28" t="s" s="291">
        <f>IF(AU$14="Equal",$F$28,IF(AU$15="Start on Site",$F$28*0.75,IF(AT$16="Practical Completion",$F$28*0.25,"")))</f>
      </c>
      <c r="AU28" s="290">
        <f>SUM(AI28:AT28)</f>
        <v>0</v>
      </c>
      <c r="AV28" s="116"/>
      <c r="AW28" s="208"/>
      <c r="AX28" s="208"/>
      <c r="AY28" s="208"/>
      <c r="AZ28" s="211"/>
    </row>
    <row r="29" ht="18" customHeight="1">
      <c r="A29" s="297"/>
      <c r="B29" s="298"/>
      <c r="C29" s="287"/>
      <c r="D29" t="s" s="288">
        <v>600</v>
      </c>
      <c r="E29" t="s" s="288">
        <v>78</v>
      </c>
      <c r="F29" s="289">
        <v>0</v>
      </c>
      <c r="G29" s="290"/>
      <c r="H29" s="290">
        <v>0</v>
      </c>
      <c r="I29" t="s" s="291">
        <f>IF(J$14="Equal",$F$29,IF(J$15="Start on Site",$F$29*0.75,IF(I$16="Practical Completion",$F$29*0.25,"")))</f>
      </c>
      <c r="J29" t="s" s="291">
        <f>IF(K$14="Equal",$F$29,IF(K$15="Start on Site",$F$29*0.75,IF(J$16="Practical Completion",$F$29*0.25,"")))</f>
      </c>
      <c r="K29" s="294">
        <f>IF(L$14="Equal",$F$29,IF(L$15="Start on Site",$F$29*0.75,IF(K$16="Practical Completion",$F$29*0.25,"")))</f>
        <v>0</v>
      </c>
      <c r="L29" t="s" s="291">
        <f>IF(M$14="Equal",$F$29,IF(M$15="Start on Site",$F$29*0.75,IF(L$16="Practical Completion",$F$29*0.25,"")))</f>
      </c>
      <c r="M29" t="s" s="291">
        <f>IF(N$14="Equal",$F$29,IF(N$15="Start on Site",$F$29*0.75,IF(M$16="Practical Completion",$F$29*0.25,"")))</f>
      </c>
      <c r="N29" t="s" s="291">
        <f>IF(O$14="Equal",$F$29,IF(O$15="Start on Site",$F$29*0.75,IF(N$16="Practical Completion",$F$29*0.25,"")))</f>
      </c>
      <c r="O29" t="s" s="291">
        <f>IF(P$14="Equal",$F$29,IF(P$15="Start on Site",$F$29*0.75,IF(O$16="Practical Completion",$F$29*0.25,"")))</f>
      </c>
      <c r="P29" t="s" s="291">
        <f>IF(Q$14="Equal",$F$29,IF(Q$15="Start on Site",$F$29*0.75,IF(P$16="Practical Completion",$F$29*0.25,"")))</f>
      </c>
      <c r="Q29" t="s" s="291">
        <f>IF(R$14="Equal",$F$29,IF(R$15="Start on Site",$F$29*0.75,IF(Q$16="Practical Completion",$F$29*0.25,"")))</f>
      </c>
      <c r="R29" t="s" s="291">
        <f>IF(S$14="Equal",$F$29,IF(S$15="Start on Site",$F$29*0.75,IF(R$16="Practical Completion",$F$29*0.25,"")))</f>
      </c>
      <c r="S29" t="s" s="291">
        <f>IF(T$14="Equal",$F$29,IF(T$15="Start on Site",$F$29*0.75,IF(S$16="Practical Completion",$F$29*0.25,"")))</f>
      </c>
      <c r="T29" t="s" s="291">
        <f>IF(U$14="Equal",$F$29,IF(U$15="Start on Site",$F$29*0.75,IF(T$16="Practical Completion",$F$29*0.25,"")))</f>
      </c>
      <c r="U29" s="290">
        <f>SUM(I29:T29)</f>
        <v>0</v>
      </c>
      <c r="V29" s="294"/>
      <c r="W29" t="s" s="291">
        <f>IF(X$14="Equal",$F$29,IF(X$15="Start on Site",$F$29*0.75,IF(W$16="Practical Completion",$F$29*0.25,"")))</f>
      </c>
      <c r="X29" s="294">
        <f>IF(Y$14="Equal",$F$29,IF(Y$15="Start on Site",$F$29*0.75,IF(X$16="Practical Completion",$F$29*0.25,"")))</f>
        <v>0</v>
      </c>
      <c r="Y29" t="s" s="291">
        <f>IF(Z$14="Equal",$F$29,IF(Z$15="Start on Site",$F$29*0.75,IF(Y$16="Practical Completion",$F$29*0.25,"")))</f>
      </c>
      <c r="Z29" t="s" s="291">
        <f>IF(AA$14="Equal",$F$29,IF(AA$15="Start on Site",$F$29*0.75,IF(Z$16="Practical Completion",$F$29*0.25,"")))</f>
      </c>
      <c r="AA29" t="s" s="291">
        <f>IF(AB$14="Equal",$F$29,IF(AB$15="Start on Site",$F$29*0.75,IF(AA$16="Practical Completion",$F$29*0.25,"")))</f>
      </c>
      <c r="AB29" t="s" s="291">
        <f>IF(AC$14="Equal",$F$29,IF(AC$15="Start on Site",$F$29*0.75,IF(AB$16="Practical Completion",$F$29*0.25,"")))</f>
      </c>
      <c r="AC29" t="s" s="291">
        <f>IF(AD$14="Equal",$F$29,IF(AD$15="Start on Site",$F$29*0.75,IF(AC$16="Practical Completion",$F$29*0.25,"")))</f>
      </c>
      <c r="AD29" t="s" s="291">
        <f>IF(AE$14="Equal",$F$29,IF(AE$15="Start on Site",$F$29*0.75,IF(AD$16="Practical Completion",$F$29*0.25,"")))</f>
      </c>
      <c r="AE29" t="s" s="291">
        <f>IF(AF$14="Equal",$F$29,IF(AF$15="Start on Site",$F$29*0.75,IF(AE$16="Practical Completion",$F$29*0.25,"")))</f>
      </c>
      <c r="AF29" t="s" s="291">
        <f>IF(AG$14="Equal",$F$29,IF(AG$15="Start on Site",$F$29*0.75,IF(AF$16="Practical Completion",$F$29*0.25,"")))</f>
      </c>
      <c r="AG29" t="s" s="291">
        <f>IF(AH$14="Equal",$F$29,IF(AH$15="Start on Site",$F$29*0.75,IF(AG$16="Practical Completion",$F$29*0.25,"")))</f>
      </c>
      <c r="AH29" s="290">
        <f>SUM(V29:AG29)</f>
        <v>0</v>
      </c>
      <c r="AI29" t="s" s="291">
        <f>IF(AJ$14="Equal",$F$29,IF(AJ$15="Start on Site",$F$29*0.75,IF(AI$16="Practical Completion",$F$29*0.25,"")))</f>
      </c>
      <c r="AJ29" t="s" s="291">
        <f>IF(AK$14="Equal",$F$29,IF(AK$15="Start on Site",$F$29*0.75,IF(AJ$16="Practical Completion",$F$29*0.25,"")))</f>
      </c>
      <c r="AK29" t="s" s="291">
        <f>IF(AL$14="Equal",$F$29,IF(AL$15="Start on Site",$F$29*0.75,IF(AK$16="Practical Completion",$F$29*0.25,"")))</f>
      </c>
      <c r="AL29" t="s" s="291">
        <f>IF(AM$14="Equal",$F$29,IF(AM$15="Start on Site",$F$29*0.75,IF(AL$16="Practical Completion",$F$29*0.25,"")))</f>
      </c>
      <c r="AM29" t="s" s="291">
        <f>IF(AN$14="Equal",$F$29,IF(AN$15="Start on Site",$F$29*0.75,IF(AM$16="Practical Completion",$F$29*0.25,"")))</f>
      </c>
      <c r="AN29" t="s" s="291">
        <f>IF(AO$14="Equal",$F$29,IF(AO$15="Start on Site",$F$29*0.75,IF(AN$16="Practical Completion",$F$29*0.25,"")))</f>
      </c>
      <c r="AO29" t="s" s="291">
        <f>IF(AP$14="Equal",$F$29,IF(AP$15="Start on Site",$F$29*0.75,IF(AO$16="Practical Completion",$F$29*0.25,"")))</f>
      </c>
      <c r="AP29" t="s" s="291">
        <f>IF(AQ$14="Equal",$F$29,IF(AQ$15="Start on Site",$F$29*0.75,IF(AP$16="Practical Completion",$F$29*0.25,"")))</f>
      </c>
      <c r="AQ29" t="s" s="291">
        <f>IF(AR$14="Equal",$F$29,IF(AR$15="Start on Site",$F$29*0.75,IF(AQ$16="Practical Completion",$F$29*0.25,"")))</f>
      </c>
      <c r="AR29" t="s" s="291">
        <f>IF(AS$14="Equal",$F$29,IF(AS$15="Start on Site",$F$29*0.75,IF(AR$16="Practical Completion",$F$29*0.25,"")))</f>
      </c>
      <c r="AS29" t="s" s="291">
        <f>IF(AT$14="Equal",$F$29,IF(AT$15="Start on Site",$F$29*0.75,IF(AS$16="Practical Completion",$F$29*0.25,"")))</f>
      </c>
      <c r="AT29" t="s" s="291">
        <f>IF(AU$14="Equal",$F$29,IF(AU$15="Start on Site",$F$29*0.75,IF(AT$16="Practical Completion",$F$29*0.25,"")))</f>
      </c>
      <c r="AU29" s="290">
        <f>SUM(AI29:AT29)</f>
        <v>0</v>
      </c>
      <c r="AV29" s="116"/>
      <c r="AW29" s="208"/>
      <c r="AX29" s="208"/>
      <c r="AY29" s="208"/>
      <c r="AZ29" s="211"/>
    </row>
    <row r="30" ht="18" customHeight="1">
      <c r="A30" s="297"/>
      <c r="B30" s="298"/>
      <c r="C30" s="287"/>
      <c r="D30" s="299"/>
      <c r="E30" s="299"/>
      <c r="F30" s="300"/>
      <c r="G30" s="300"/>
      <c r="H30" s="300"/>
      <c r="I30" s="301"/>
      <c r="J30" s="301"/>
      <c r="K30" s="301"/>
      <c r="L30" s="301"/>
      <c r="M30" s="301"/>
      <c r="N30" s="301"/>
      <c r="O30" s="301"/>
      <c r="P30" s="301"/>
      <c r="Q30" s="301"/>
      <c r="R30" s="301"/>
      <c r="S30" s="301"/>
      <c r="T30" s="301"/>
      <c r="U30" s="300"/>
      <c r="V30" s="301"/>
      <c r="W30" s="301"/>
      <c r="X30" s="301"/>
      <c r="Y30" s="301"/>
      <c r="Z30" s="301"/>
      <c r="AA30" s="301"/>
      <c r="AB30" s="301"/>
      <c r="AC30" s="301"/>
      <c r="AD30" s="301"/>
      <c r="AE30" s="301"/>
      <c r="AF30" s="301"/>
      <c r="AG30" s="301"/>
      <c r="AH30" s="300"/>
      <c r="AI30" s="301"/>
      <c r="AJ30" s="301"/>
      <c r="AK30" s="301"/>
      <c r="AL30" s="301"/>
      <c r="AM30" s="301"/>
      <c r="AN30" s="301"/>
      <c r="AO30" s="301"/>
      <c r="AP30" s="301"/>
      <c r="AQ30" s="301"/>
      <c r="AR30" s="301"/>
      <c r="AS30" s="301"/>
      <c r="AT30" s="301"/>
      <c r="AU30" s="300"/>
      <c r="AV30" s="116"/>
      <c r="AW30" s="208"/>
      <c r="AX30" s="208"/>
      <c r="AY30" s="208"/>
      <c r="AZ30" s="211"/>
    </row>
    <row r="31" ht="18" customHeight="1">
      <c r="A31" s="302"/>
      <c r="B31" s="303"/>
      <c r="C31" s="304"/>
      <c r="D31" t="s" s="305">
        <f>'Master Cost Page'!$B$13</f>
        <v>601</v>
      </c>
      <c r="E31" s="306"/>
      <c r="F31" s="307">
        <f>SUM(F18:F30)</f>
        <v>1382875</v>
      </c>
      <c r="G31" s="307">
        <f>SUM(G18:G30)</f>
        <v>0</v>
      </c>
      <c r="H31" s="307">
        <f>SUM(H18:H30)</f>
        <v>359875</v>
      </c>
      <c r="I31" s="307">
        <f>SUM(I18:I30)</f>
        <v>0</v>
      </c>
      <c r="J31" s="307">
        <f>SUM(J18:J30)</f>
        <v>222500</v>
      </c>
      <c r="K31" s="307">
        <f>SUM(K18:K30)</f>
        <v>140167</v>
      </c>
      <c r="L31" s="307">
        <f>SUM(L18:L30)</f>
        <v>60766</v>
      </c>
      <c r="M31" s="307">
        <f>SUM(M18:M30)</f>
        <v>81022</v>
      </c>
      <c r="N31" s="307">
        <f>SUM(N18:N30)</f>
        <v>91149</v>
      </c>
      <c r="O31" s="307">
        <f>SUM(O18:O30)</f>
        <v>101277</v>
      </c>
      <c r="P31" s="307">
        <f>SUM(P18:P30)</f>
        <v>101277</v>
      </c>
      <c r="Q31" s="307">
        <f>SUM(Q18:Q30)</f>
        <v>101277</v>
      </c>
      <c r="R31" s="307">
        <f>SUM(R18:R30)</f>
        <v>101277</v>
      </c>
      <c r="S31" s="307">
        <f>SUM(S18:S30)</f>
        <v>91149</v>
      </c>
      <c r="T31" s="307">
        <f>SUM(T18:T30)</f>
        <v>81022</v>
      </c>
      <c r="U31" s="307">
        <f>SUM(U18:U30)</f>
        <v>1172883</v>
      </c>
      <c r="V31" s="307">
        <f>SUM(V18:V30)</f>
        <v>70894</v>
      </c>
      <c r="W31" s="307">
        <f>SUM(W18:W30)</f>
        <v>91149</v>
      </c>
      <c r="X31" s="307">
        <f>SUM(X18:X30)</f>
        <v>47948.75</v>
      </c>
      <c r="Y31" s="307">
        <f>SUM(Y18:Y30)</f>
        <v>0</v>
      </c>
      <c r="Z31" s="307">
        <f>SUM(Z18:Z30)</f>
        <v>0</v>
      </c>
      <c r="AA31" s="307">
        <f>SUM(AA18:AA30)</f>
        <v>0</v>
      </c>
      <c r="AB31" s="307">
        <f>SUM(AB18:AB30)</f>
        <v>0</v>
      </c>
      <c r="AC31" s="307">
        <f>SUM(AC18:AC30)</f>
        <v>0</v>
      </c>
      <c r="AD31" s="307">
        <f>SUM(AD18:AD30)</f>
        <v>0</v>
      </c>
      <c r="AE31" s="307">
        <f>SUM(AE18:AE30)</f>
        <v>0</v>
      </c>
      <c r="AF31" s="307">
        <f>SUM(AF18:AF30)</f>
        <v>0</v>
      </c>
      <c r="AG31" s="307">
        <f>SUM(AG18:AG30)</f>
        <v>0</v>
      </c>
      <c r="AH31" s="307">
        <f>SUM(AH18:AH30)</f>
        <v>209991.75</v>
      </c>
      <c r="AI31" s="307">
        <f>SUM(AI18:AI30)</f>
        <v>0</v>
      </c>
      <c r="AJ31" s="307">
        <f>SUM(AJ18:AJ30)</f>
        <v>0</v>
      </c>
      <c r="AK31" s="307">
        <f>SUM(AK18:AK30)</f>
        <v>0</v>
      </c>
      <c r="AL31" s="307">
        <f>SUM(AL18:AL30)</f>
        <v>0</v>
      </c>
      <c r="AM31" s="307">
        <f>SUM(AM18:AM30)</f>
        <v>0</v>
      </c>
      <c r="AN31" s="307">
        <f>SUM(AN18:AN30)</f>
        <v>0</v>
      </c>
      <c r="AO31" s="307">
        <f>SUM(AO18:AO30)</f>
        <v>0</v>
      </c>
      <c r="AP31" s="307">
        <f>SUM(AP18:AP30)</f>
        <v>0</v>
      </c>
      <c r="AQ31" s="307">
        <f>SUM(AQ18:AQ30)</f>
        <v>0</v>
      </c>
      <c r="AR31" s="307">
        <f>SUM(AR18:AR30)</f>
        <v>0</v>
      </c>
      <c r="AS31" s="307">
        <f>SUM(AS18:AS30)</f>
        <v>0</v>
      </c>
      <c r="AT31" s="307">
        <f>SUM(AT18:AT30)</f>
        <v>0</v>
      </c>
      <c r="AU31" s="307">
        <f>SUM(AU18:AU30)</f>
        <v>0</v>
      </c>
      <c r="AV31" s="308"/>
      <c r="AW31" s="208"/>
      <c r="AX31" s="208"/>
      <c r="AY31" s="208"/>
      <c r="AZ31" s="211"/>
    </row>
    <row r="32" ht="12.75" customHeight="1">
      <c r="A32" s="302"/>
      <c r="B32" s="303"/>
      <c r="C32" s="287"/>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09"/>
      <c r="AM32" s="309"/>
      <c r="AN32" s="309"/>
      <c r="AO32" s="309"/>
      <c r="AP32" s="309"/>
      <c r="AQ32" s="309"/>
      <c r="AR32" s="309"/>
      <c r="AS32" s="309"/>
      <c r="AT32" s="309"/>
      <c r="AU32" s="309"/>
      <c r="AV32" s="116"/>
      <c r="AW32" s="208"/>
      <c r="AX32" s="208"/>
      <c r="AY32" s="208"/>
      <c r="AZ32" s="211"/>
    </row>
    <row r="33" ht="12.75" customHeight="1">
      <c r="A33" s="302"/>
      <c r="B33" s="303"/>
      <c r="C33" s="287"/>
      <c r="D33" t="s" s="288">
        <v>602</v>
      </c>
      <c r="E33" s="310"/>
      <c r="F33" s="290">
        <v>0</v>
      </c>
      <c r="G33" s="287"/>
      <c r="H33" s="290">
        <v>0</v>
      </c>
      <c r="I33" s="311">
        <v>0</v>
      </c>
      <c r="J33" s="311">
        <v>0</v>
      </c>
      <c r="K33" s="311">
        <v>0</v>
      </c>
      <c r="L33" s="311">
        <v>0</v>
      </c>
      <c r="M33" s="311">
        <v>0</v>
      </c>
      <c r="N33" s="311">
        <v>0</v>
      </c>
      <c r="O33" s="311">
        <v>0</v>
      </c>
      <c r="P33" s="311">
        <v>0</v>
      </c>
      <c r="Q33" s="311">
        <v>0</v>
      </c>
      <c r="R33" s="311">
        <v>0</v>
      </c>
      <c r="S33" s="311">
        <v>0</v>
      </c>
      <c r="T33" s="311">
        <v>0</v>
      </c>
      <c r="U33" s="312">
        <f>SUM(I33:T33)</f>
        <v>0</v>
      </c>
      <c r="V33" s="311">
        <v>0</v>
      </c>
      <c r="W33" s="311">
        <v>0</v>
      </c>
      <c r="X33" s="311">
        <v>0</v>
      </c>
      <c r="Y33" s="311">
        <v>0</v>
      </c>
      <c r="Z33" s="311">
        <v>0</v>
      </c>
      <c r="AA33" s="311">
        <v>0</v>
      </c>
      <c r="AB33" s="311">
        <v>0</v>
      </c>
      <c r="AC33" s="311">
        <v>0</v>
      </c>
      <c r="AD33" s="311">
        <v>0</v>
      </c>
      <c r="AE33" s="311">
        <v>0</v>
      </c>
      <c r="AF33" s="311">
        <v>0</v>
      </c>
      <c r="AG33" s="311">
        <v>0</v>
      </c>
      <c r="AH33" s="312">
        <f>SUM(V33:AG33)</f>
        <v>0</v>
      </c>
      <c r="AI33" s="311">
        <v>0</v>
      </c>
      <c r="AJ33" s="311">
        <v>0</v>
      </c>
      <c r="AK33" s="311">
        <v>0</v>
      </c>
      <c r="AL33" s="311">
        <v>0</v>
      </c>
      <c r="AM33" s="311">
        <v>0</v>
      </c>
      <c r="AN33" s="311">
        <v>0</v>
      </c>
      <c r="AO33" s="311">
        <v>0</v>
      </c>
      <c r="AP33" s="311">
        <v>0</v>
      </c>
      <c r="AQ33" s="311">
        <v>0</v>
      </c>
      <c r="AR33" s="311">
        <v>0</v>
      </c>
      <c r="AS33" s="311">
        <v>0</v>
      </c>
      <c r="AT33" s="311">
        <v>0</v>
      </c>
      <c r="AU33" s="312">
        <f>SUM(AI33:AT33)</f>
        <v>0</v>
      </c>
      <c r="AV33" s="116"/>
      <c r="AW33" s="208"/>
      <c r="AX33" s="208"/>
      <c r="AY33" s="208"/>
      <c r="AZ33" s="211"/>
    </row>
    <row r="34" ht="12.75" customHeight="1">
      <c r="A34" s="302"/>
      <c r="B34" s="303"/>
      <c r="C34" s="287"/>
      <c r="D34" t="s" s="288">
        <v>603</v>
      </c>
      <c r="E34" s="310"/>
      <c r="F34" s="290">
        <v>75000</v>
      </c>
      <c r="G34" s="287"/>
      <c r="H34" s="290">
        <v>75000</v>
      </c>
      <c r="I34" s="313">
        <f>IF(AND(MONTH((DATE(1899,12,31)+(0*7+IF('Project Information'!$D$39&gt;60,'Project Information'!$D$39-1,'Project Information'!$D$39))))=MONTH(I17),YEAR((DATE(1899,12,31)+(0*7+IF('Project Information'!$D$39&gt;60,'Project Information'!$D$39-1,'Project Information'!$D$39))))=YEAR(I17)),'Project Information'!$C$39,0)</f>
        <v>0</v>
      </c>
      <c r="J34" s="313">
        <f>IF(AND(MONTH((DATE(1899,12,31)+(0*7+IF('Project Information'!$D$39&gt;60,'Project Information'!$D$39-1,'Project Information'!$D$39))))=MONTH(J17),YEAR((DATE(1899,12,31)+(0*7+IF('Project Information'!$D$39&gt;60,'Project Information'!$D$39-1,'Project Information'!$D$39))))=YEAR(J17)),'Project Information'!$C$39,0)</f>
        <v>0</v>
      </c>
      <c r="K34" s="313">
        <f>IF(AND(MONTH((DATE(1899,12,31)+(0*7+IF('Project Information'!$D$39&gt;60,'Project Information'!$D$39-1,'Project Information'!$D$39))))=MONTH(K17),YEAR((DATE(1899,12,31)+(0*7+IF('Project Information'!$D$39&gt;60,'Project Information'!$D$39-1,'Project Information'!$D$39))))=YEAR(K17)),'Project Information'!$C$39,0)</f>
        <v>0</v>
      </c>
      <c r="L34" s="313">
        <v>75000</v>
      </c>
      <c r="M34" s="313">
        <f>IF(AND(MONTH((DATE(1899,12,31)+(0*7+IF('Project Information'!$D$39&gt;60,'Project Information'!$D$39-1,'Project Information'!$D$39))))=MONTH(M17),YEAR((DATE(1899,12,31)+(0*7+IF('Project Information'!$D$39&gt;60,'Project Information'!$D$39-1,'Project Information'!$D$39))))=YEAR(M17)),'Project Information'!$C$39,0)</f>
        <v>0</v>
      </c>
      <c r="N34" s="313">
        <f>IF(AND(MONTH((DATE(1899,12,31)+(0*7+IF('Project Information'!$D$39&gt;60,'Project Information'!$D$39-1,'Project Information'!$D$39))))=MONTH(N17),YEAR((DATE(1899,12,31)+(0*7+IF('Project Information'!$D$39&gt;60,'Project Information'!$D$39-1,'Project Information'!$D$39))))=YEAR(N17)),'Project Information'!$C$39,0)</f>
        <v>0</v>
      </c>
      <c r="O34" s="313">
        <f>IF(AND(MONTH((DATE(1899,12,31)+(0*7+IF('Project Information'!$D$39&gt;60,'Project Information'!$D$39-1,'Project Information'!$D$39))))=MONTH(O17),YEAR((DATE(1899,12,31)+(0*7+IF('Project Information'!$D$39&gt;60,'Project Information'!$D$39-1,'Project Information'!$D$39))))=YEAR(O17)),'Project Information'!$C$39,0)</f>
        <v>0</v>
      </c>
      <c r="P34" s="313">
        <f>IF(AND(MONTH((DATE(1899,12,31)+(0*7+IF('Project Information'!$D$39&gt;60,'Project Information'!$D$39-1,'Project Information'!$D$39))))=MONTH(P17),YEAR((DATE(1899,12,31)+(0*7+IF('Project Information'!$D$39&gt;60,'Project Information'!$D$39-1,'Project Information'!$D$39))))=YEAR(P17)),'Project Information'!$C$39,0)</f>
        <v>0</v>
      </c>
      <c r="Q34" s="313">
        <f>IF(AND(MONTH((DATE(1899,12,31)+(0*7+IF('Project Information'!$D$39&gt;60,'Project Information'!$D$39-1,'Project Information'!$D$39))))=MONTH(Q17),YEAR((DATE(1899,12,31)+(0*7+IF('Project Information'!$D$39&gt;60,'Project Information'!$D$39-1,'Project Information'!$D$39))))=YEAR(Q17)),'Project Information'!$C$39,0)</f>
        <v>0</v>
      </c>
      <c r="R34" s="313">
        <f>IF(AND(MONTH((DATE(1899,12,31)+(0*7+IF('Project Information'!$D$39&gt;60,'Project Information'!$D$39-1,'Project Information'!$D$39))))=MONTH(R17),YEAR((DATE(1899,12,31)+(0*7+IF('Project Information'!$D$39&gt;60,'Project Information'!$D$39-1,'Project Information'!$D$39))))=YEAR(R17)),'Project Information'!$C$39,0)</f>
        <v>0</v>
      </c>
      <c r="S34" s="313">
        <f>IF(AND(MONTH((DATE(1899,12,31)+(0*7+IF('Project Information'!$D$39&gt;60,'Project Information'!$D$39-1,'Project Information'!$D$39))))=MONTH(S17),YEAR((DATE(1899,12,31)+(0*7+IF('Project Information'!$D$39&gt;60,'Project Information'!$D$39-1,'Project Information'!$D$39))))=YEAR(S17)),'Project Information'!$C$39,0)</f>
        <v>0</v>
      </c>
      <c r="T34" s="313">
        <f>IF(AND(MONTH((DATE(1899,12,31)+(0*7+IF('Project Information'!$D$39&gt;60,'Project Information'!$D$39-1,'Project Information'!$D$39))))=MONTH(T17),YEAR((DATE(1899,12,31)+(0*7+IF('Project Information'!$D$39&gt;60,'Project Information'!$D$39-1,'Project Information'!$D$39))))=YEAR(T17)),'Project Information'!$C$39,0)</f>
        <v>0</v>
      </c>
      <c r="U34" s="312">
        <f>SUM(I34:T34)</f>
        <v>75000</v>
      </c>
      <c r="V34" s="313">
        <f>IF(AND(MONTH((DATE(1899,12,31)+(0*7+IF('Project Information'!$D$39&gt;60,'Project Information'!$D$39-1,'Project Information'!$D$39))))=MONTH(V17),YEAR((DATE(1899,12,31)+(0*7+IF('Project Information'!$D$39&gt;60,'Project Information'!$D$39-1,'Project Information'!$D$39))))=YEAR(V17)),'Project Information'!$C$39,0)</f>
        <v>0</v>
      </c>
      <c r="W34" s="313">
        <f>IF(AND(MONTH((DATE(1899,12,31)+(0*7+IF('Project Information'!$D$39&gt;60,'Project Information'!$D$39-1,'Project Information'!$D$39))))=MONTH(W17),YEAR((DATE(1899,12,31)+(0*7+IF('Project Information'!$D$39&gt;60,'Project Information'!$D$39-1,'Project Information'!$D$39))))=YEAR(W17)),'Project Information'!$C$39,0)</f>
        <v>0</v>
      </c>
      <c r="X34" s="313">
        <f>IF(AND(MONTH((DATE(1899,12,31)+(0*7+IF('Project Information'!$D$39&gt;60,'Project Information'!$D$39-1,'Project Information'!$D$39))))=MONTH(X17),YEAR((DATE(1899,12,31)+(0*7+IF('Project Information'!$D$39&gt;60,'Project Information'!$D$39-1,'Project Information'!$D$39))))=YEAR(X17)),'Project Information'!$C$39,0)</f>
        <v>0</v>
      </c>
      <c r="Y34" s="313">
        <f>IF(AND(MONTH((DATE(1899,12,31)+(0*7+IF('Project Information'!$D$39&gt;60,'Project Information'!$D$39-1,'Project Information'!$D$39))))=MONTH(Y17),YEAR((DATE(1899,12,31)+(0*7+IF('Project Information'!$D$39&gt;60,'Project Information'!$D$39-1,'Project Information'!$D$39))))=YEAR(Y17)),'Project Information'!$C$39,0)</f>
        <v>0</v>
      </c>
      <c r="Z34" s="313">
        <f>IF(AND(MONTH((DATE(1899,12,31)+(0*7+IF('Project Information'!$D$39&gt;60,'Project Information'!$D$39-1,'Project Information'!$D$39))))=MONTH(Z17),YEAR((DATE(1899,12,31)+(0*7+IF('Project Information'!$D$39&gt;60,'Project Information'!$D$39-1,'Project Information'!$D$39))))=YEAR(Z17)),'Project Information'!$C$39,0)</f>
        <v>0</v>
      </c>
      <c r="AA34" s="313">
        <f>IF(AND(MONTH((DATE(1899,12,31)+(0*7+IF('Project Information'!$D$39&gt;60,'Project Information'!$D$39-1,'Project Information'!$D$39))))=MONTH(AA17),YEAR((DATE(1899,12,31)+(0*7+IF('Project Information'!$D$39&gt;60,'Project Information'!$D$39-1,'Project Information'!$D$39))))=YEAR(AA17)),'Project Information'!$C$39,0)</f>
        <v>0</v>
      </c>
      <c r="AB34" s="313">
        <f>IF(AND(MONTH((DATE(1899,12,31)+(0*7+IF('Project Information'!$D$39&gt;60,'Project Information'!$D$39-1,'Project Information'!$D$39))))=MONTH(AB17),YEAR((DATE(1899,12,31)+(0*7+IF('Project Information'!$D$39&gt;60,'Project Information'!$D$39-1,'Project Information'!$D$39))))=YEAR(AB17)),'Project Information'!$C$39,0)</f>
        <v>0</v>
      </c>
      <c r="AC34" s="313">
        <f>IF(AND(MONTH((DATE(1899,12,31)+(0*7+IF('Project Information'!$D$39&gt;60,'Project Information'!$D$39-1,'Project Information'!$D$39))))=MONTH(AC17),YEAR((DATE(1899,12,31)+(0*7+IF('Project Information'!$D$39&gt;60,'Project Information'!$D$39-1,'Project Information'!$D$39))))=YEAR(AC17)),'Project Information'!$C$39,0)</f>
        <v>0</v>
      </c>
      <c r="AD34" s="313">
        <f>IF(AND(MONTH((DATE(1899,12,31)+(0*7+IF('Project Information'!$D$39&gt;60,'Project Information'!$D$39-1,'Project Information'!$D$39))))=MONTH(AD17),YEAR((DATE(1899,12,31)+(0*7+IF('Project Information'!$D$39&gt;60,'Project Information'!$D$39-1,'Project Information'!$D$39))))=YEAR(AD17)),'Project Information'!$C$39,0)</f>
        <v>0</v>
      </c>
      <c r="AE34" s="313">
        <f>IF(AND(MONTH((DATE(1899,12,31)+(0*7+IF('Project Information'!$D$39&gt;60,'Project Information'!$D$39-1,'Project Information'!$D$39))))=MONTH(AE17),YEAR((DATE(1899,12,31)+(0*7+IF('Project Information'!$D$39&gt;60,'Project Information'!$D$39-1,'Project Information'!$D$39))))=YEAR(AE17)),'Project Information'!$C$39,0)</f>
        <v>0</v>
      </c>
      <c r="AF34" s="313">
        <f>IF(AND(MONTH((DATE(1899,12,31)+(0*7+IF('Project Information'!$D$39&gt;60,'Project Information'!$D$39-1,'Project Information'!$D$39))))=MONTH(AF17),YEAR((DATE(1899,12,31)+(0*7+IF('Project Information'!$D$39&gt;60,'Project Information'!$D$39-1,'Project Information'!$D$39))))=YEAR(AF17)),'Project Information'!$C$39,0)</f>
        <v>0</v>
      </c>
      <c r="AG34" s="313">
        <f>IF(AND(MONTH((DATE(1899,12,31)+(0*7+IF('Project Information'!$D$39&gt;60,'Project Information'!$D$39-1,'Project Information'!$D$39))))=MONTH(AG17),YEAR((DATE(1899,12,31)+(0*7+IF('Project Information'!$D$39&gt;60,'Project Information'!$D$39-1,'Project Information'!$D$39))))=YEAR(AG17)),'Project Information'!$C$39,0)</f>
        <v>0</v>
      </c>
      <c r="AH34" s="312">
        <f>SUM(V34:AG34)</f>
        <v>0</v>
      </c>
      <c r="AI34" s="313">
        <f>IF(AND(MONTH((DATE(1899,12,31)+(0*7+IF('Project Information'!$D$39&gt;60,'Project Information'!$D$39-1,'Project Information'!$D$39))))=MONTH(AI17),YEAR((DATE(1899,12,31)+(0*7+IF('Project Information'!$D$39&gt;60,'Project Information'!$D$39-1,'Project Information'!$D$39))))=YEAR(AI17)),'Project Information'!$C$39,0)</f>
        <v>0</v>
      </c>
      <c r="AJ34" s="313">
        <f>IF(AND(MONTH((DATE(1899,12,31)+(0*7+IF('Project Information'!$D$39&gt;60,'Project Information'!$D$39-1,'Project Information'!$D$39))))=MONTH(AJ17),YEAR((DATE(1899,12,31)+(0*7+IF('Project Information'!$D$39&gt;60,'Project Information'!$D$39-1,'Project Information'!$D$39))))=YEAR(AJ17)),'Project Information'!$C$39,0)</f>
        <v>0</v>
      </c>
      <c r="AK34" s="313">
        <f>IF(AND(MONTH((DATE(1899,12,31)+(0*7+IF('Project Information'!$D$39&gt;60,'Project Information'!$D$39-1,'Project Information'!$D$39))))=MONTH(AK17),YEAR((DATE(1899,12,31)+(0*7+IF('Project Information'!$D$39&gt;60,'Project Information'!$D$39-1,'Project Information'!$D$39))))=YEAR(AK17)),'Project Information'!$C$39,0)</f>
        <v>0</v>
      </c>
      <c r="AL34" s="313">
        <f>IF(AND(MONTH((DATE(1899,12,31)+(0*7+IF('Project Information'!$D$39&gt;60,'Project Information'!$D$39-1,'Project Information'!$D$39))))=MONTH(AL17),YEAR((DATE(1899,12,31)+(0*7+IF('Project Information'!$D$39&gt;60,'Project Information'!$D$39-1,'Project Information'!$D$39))))=YEAR(AL17)),'Project Information'!$C$39,0)</f>
        <v>0</v>
      </c>
      <c r="AM34" s="313">
        <f>IF(AND(MONTH((DATE(1899,12,31)+(0*7+IF('Project Information'!$D$39&gt;60,'Project Information'!$D$39-1,'Project Information'!$D$39))))=MONTH(AM17),YEAR((DATE(1899,12,31)+(0*7+IF('Project Information'!$D$39&gt;60,'Project Information'!$D$39-1,'Project Information'!$D$39))))=YEAR(AM17)),'Project Information'!$C$39,0)</f>
        <v>0</v>
      </c>
      <c r="AN34" s="313">
        <f>IF(AND(MONTH((DATE(1899,12,31)+(0*7+IF('Project Information'!$D$39&gt;60,'Project Information'!$D$39-1,'Project Information'!$D$39))))=MONTH(AN17),YEAR((DATE(1899,12,31)+(0*7+IF('Project Information'!$D$39&gt;60,'Project Information'!$D$39-1,'Project Information'!$D$39))))=YEAR(AN17)),'Project Information'!$C$39,0)</f>
        <v>0</v>
      </c>
      <c r="AO34" s="313">
        <f>IF(AND(MONTH((DATE(1899,12,31)+(0*7+IF('Project Information'!$D$39&gt;60,'Project Information'!$D$39-1,'Project Information'!$D$39))))=MONTH(AO17),YEAR((DATE(1899,12,31)+(0*7+IF('Project Information'!$D$39&gt;60,'Project Information'!$D$39-1,'Project Information'!$D$39))))=YEAR(AO17)),'Project Information'!$C$39,0)</f>
        <v>0</v>
      </c>
      <c r="AP34" s="313">
        <f>IF(AND(MONTH((DATE(1899,12,31)+(0*7+IF('Project Information'!$D$39&gt;60,'Project Information'!$D$39-1,'Project Information'!$D$39))))=MONTH(AP17),YEAR((DATE(1899,12,31)+(0*7+IF('Project Information'!$D$39&gt;60,'Project Information'!$D$39-1,'Project Information'!$D$39))))=YEAR(AP17)),'Project Information'!$C$39,0)</f>
        <v>0</v>
      </c>
      <c r="AQ34" s="313">
        <f>IF(AND(MONTH((DATE(1899,12,31)+(0*7+IF('Project Information'!$D$39&gt;60,'Project Information'!$D$39-1,'Project Information'!$D$39))))=MONTH(AQ17),YEAR((DATE(1899,12,31)+(0*7+IF('Project Information'!$D$39&gt;60,'Project Information'!$D$39-1,'Project Information'!$D$39))))=YEAR(AQ17)),'Project Information'!$C$39,0)</f>
        <v>0</v>
      </c>
      <c r="AR34" s="313">
        <f>IF(AND(MONTH((DATE(1899,12,31)+(0*7+IF('Project Information'!$D$39&gt;60,'Project Information'!$D$39-1,'Project Information'!$D$39))))=MONTH(AR17),YEAR((DATE(1899,12,31)+(0*7+IF('Project Information'!$D$39&gt;60,'Project Information'!$D$39-1,'Project Information'!$D$39))))=YEAR(AR17)),'Project Information'!$C$39,0)</f>
        <v>0</v>
      </c>
      <c r="AS34" s="313">
        <f>IF(AND(MONTH((DATE(1899,12,31)+(0*7+IF('Project Information'!$D$39&gt;60,'Project Information'!$D$39-1,'Project Information'!$D$39))))=MONTH(AS17),YEAR((DATE(1899,12,31)+(0*7+IF('Project Information'!$D$39&gt;60,'Project Information'!$D$39-1,'Project Information'!$D$39))))=YEAR(AS17)),'Project Information'!$C$39,0)</f>
        <v>0</v>
      </c>
      <c r="AT34" s="313">
        <f>IF(AND(MONTH((DATE(1899,12,31)+(0*7+IF('Project Information'!$D$39&gt;60,'Project Information'!$D$39-1,'Project Information'!$D$39))))=MONTH(AT17),YEAR((DATE(1899,12,31)+(0*7+IF('Project Information'!$D$39&gt;60,'Project Information'!$D$39-1,'Project Information'!$D$39))))=YEAR(AT17)),'Project Information'!$C$39,0)</f>
        <v>0</v>
      </c>
      <c r="AU34" s="312">
        <f>SUM(AI34:AT34)</f>
        <v>0</v>
      </c>
      <c r="AV34" s="116"/>
      <c r="AW34" s="208"/>
      <c r="AX34" s="208"/>
      <c r="AY34" s="208"/>
      <c r="AZ34" s="211"/>
    </row>
    <row r="35" ht="12.75" customHeight="1">
      <c r="A35" s="302"/>
      <c r="B35" s="303"/>
      <c r="C35" s="287"/>
      <c r="D35" t="s" s="288">
        <v>595</v>
      </c>
      <c r="E35" s="310"/>
      <c r="F35" s="290">
        <v>50000</v>
      </c>
      <c r="G35" s="287"/>
      <c r="H35" s="290">
        <v>50000</v>
      </c>
      <c r="I35" s="313">
        <f>IF(AND(MONTH((DATE(1899,12,31)+(0*7+IF('Project Information'!$D$40&gt;60,'Project Information'!$D$40-1,'Project Information'!$D$40))))=MONTH(I17),YEAR((DATE(1899,12,31)+(0*7+IF('Project Information'!$D$40&gt;60,'Project Information'!$D$40-1,'Project Information'!$D$40))))=YEAR(I17)),'Project Information'!$C$40,0)</f>
        <v>0</v>
      </c>
      <c r="J35" s="313">
        <f>IF(AND(MONTH((DATE(1899,12,31)+(0*7+IF('Project Information'!$D$40&gt;60,'Project Information'!$D$40-1,'Project Information'!$D$40))))=MONTH(J17),YEAR((DATE(1899,12,31)+(0*7+IF('Project Information'!$D$40&gt;60,'Project Information'!$D$40-1,'Project Information'!$D$40))))=YEAR(J17)),'Project Information'!$C$40,0)</f>
        <v>0</v>
      </c>
      <c r="K35" s="313">
        <f>IF(AND(MONTH((DATE(1899,12,31)+(0*7+IF('Project Information'!$D$40&gt;60,'Project Information'!$D$40-1,'Project Information'!$D$40))))=MONTH(K17),YEAR((DATE(1899,12,31)+(0*7+IF('Project Information'!$D$40&gt;60,'Project Information'!$D$40-1,'Project Information'!$D$40))))=YEAR(K17)),'Project Information'!$C$40,0)</f>
        <v>0</v>
      </c>
      <c r="L35" s="313">
        <f>IF(AND(MONTH((DATE(1899,12,31)+(0*7+IF('Project Information'!$D$40&gt;60,'Project Information'!$D$40-1,'Project Information'!$D$40))))=MONTH(L17),YEAR((DATE(1899,12,31)+(0*7+IF('Project Information'!$D$40&gt;60,'Project Information'!$D$40-1,'Project Information'!$D$40))))=YEAR(L17)),'Project Information'!$C$40,0)</f>
        <v>0</v>
      </c>
      <c r="M35" s="313">
        <v>50000</v>
      </c>
      <c r="N35" s="313">
        <f>IF(AND(MONTH((DATE(1899,12,31)+(0*7+IF('Project Information'!$D$40&gt;60,'Project Information'!$D$40-1,'Project Information'!$D$40))))=MONTH(N17),YEAR((DATE(1899,12,31)+(0*7+IF('Project Information'!$D$40&gt;60,'Project Information'!$D$40-1,'Project Information'!$D$40))))=YEAR(N17)),'Project Information'!$C$40,0)</f>
        <v>0</v>
      </c>
      <c r="O35" s="313">
        <f>IF(AND(MONTH((DATE(1899,12,31)+(0*7+IF('Project Information'!$D$40&gt;60,'Project Information'!$D$40-1,'Project Information'!$D$40))))=MONTH(O17),YEAR((DATE(1899,12,31)+(0*7+IF('Project Information'!$D$40&gt;60,'Project Information'!$D$40-1,'Project Information'!$D$40))))=YEAR(O17)),'Project Information'!$C$40,0)</f>
        <v>0</v>
      </c>
      <c r="P35" s="313">
        <f>IF(AND(MONTH((DATE(1899,12,31)+(0*7+IF('Project Information'!$D$40&gt;60,'Project Information'!$D$40-1,'Project Information'!$D$40))))=MONTH(P17),YEAR((DATE(1899,12,31)+(0*7+IF('Project Information'!$D$40&gt;60,'Project Information'!$D$40-1,'Project Information'!$D$40))))=YEAR(P17)),'Project Information'!$C$40,0)</f>
        <v>0</v>
      </c>
      <c r="Q35" s="313">
        <f>IF(AND(MONTH((DATE(1899,12,31)+(0*7+IF('Project Information'!$D$40&gt;60,'Project Information'!$D$40-1,'Project Information'!$D$40))))=MONTH(Q17),YEAR((DATE(1899,12,31)+(0*7+IF('Project Information'!$D$40&gt;60,'Project Information'!$D$40-1,'Project Information'!$D$40))))=YEAR(Q17)),'Project Information'!$C$40,0)</f>
        <v>0</v>
      </c>
      <c r="R35" s="313">
        <f>IF(AND(MONTH((DATE(1899,12,31)+(0*7+IF('Project Information'!$D$40&gt;60,'Project Information'!$D$40-1,'Project Information'!$D$40))))=MONTH(R17),YEAR((DATE(1899,12,31)+(0*7+IF('Project Information'!$D$40&gt;60,'Project Information'!$D$40-1,'Project Information'!$D$40))))=YEAR(R17)),'Project Information'!$C$40,0)</f>
        <v>0</v>
      </c>
      <c r="S35" s="313">
        <f>IF(AND(MONTH((DATE(1899,12,31)+(0*7+IF('Project Information'!$D$40&gt;60,'Project Information'!$D$40-1,'Project Information'!$D$40))))=MONTH(S17),YEAR((DATE(1899,12,31)+(0*7+IF('Project Information'!$D$40&gt;60,'Project Information'!$D$40-1,'Project Information'!$D$40))))=YEAR(S17)),'Project Information'!$C$40,0)</f>
        <v>0</v>
      </c>
      <c r="T35" s="313">
        <f>IF(AND(MONTH((DATE(1899,12,31)+(0*7+IF('Project Information'!$D$40&gt;60,'Project Information'!$D$40-1,'Project Information'!$D$40))))=MONTH(T17),YEAR((DATE(1899,12,31)+(0*7+IF('Project Information'!$D$40&gt;60,'Project Information'!$D$40-1,'Project Information'!$D$40))))=YEAR(T17)),'Project Information'!$C$40,0)</f>
        <v>0</v>
      </c>
      <c r="U35" s="312">
        <f>SUM(I35:T35)</f>
        <v>50000</v>
      </c>
      <c r="V35" s="313">
        <f>IF(AND(MONTH((DATE(1899,12,31)+(0*7+IF('Project Information'!$D$40&gt;60,'Project Information'!$D$40-1,'Project Information'!$D$40))))=MONTH(V17),YEAR((DATE(1899,12,31)+(0*7+IF('Project Information'!$D$40&gt;60,'Project Information'!$D$40-1,'Project Information'!$D$40))))=YEAR(V17)),'Project Information'!$C$40,0)</f>
        <v>0</v>
      </c>
      <c r="W35" s="313">
        <f>IF(AND(MONTH((DATE(1899,12,31)+(0*7+IF('Project Information'!$D$40&gt;60,'Project Information'!$D$40-1,'Project Information'!$D$40))))=MONTH(W17),YEAR((DATE(1899,12,31)+(0*7+IF('Project Information'!$D$40&gt;60,'Project Information'!$D$40-1,'Project Information'!$D$40))))=YEAR(W17)),'Project Information'!$C$40,0)</f>
        <v>0</v>
      </c>
      <c r="X35" s="313">
        <f>IF(AND(MONTH((DATE(1899,12,31)+(0*7+IF('Project Information'!$D$40&gt;60,'Project Information'!$D$40-1,'Project Information'!$D$40))))=MONTH(X17),YEAR((DATE(1899,12,31)+(0*7+IF('Project Information'!$D$40&gt;60,'Project Information'!$D$40-1,'Project Information'!$D$40))))=YEAR(X17)),'Project Information'!$C$40,0)</f>
        <v>0</v>
      </c>
      <c r="Y35" s="313">
        <f>IF(AND(MONTH((DATE(1899,12,31)+(0*7+IF('Project Information'!$D$40&gt;60,'Project Information'!$D$40-1,'Project Information'!$D$40))))=MONTH(Y17),YEAR((DATE(1899,12,31)+(0*7+IF('Project Information'!$D$40&gt;60,'Project Information'!$D$40-1,'Project Information'!$D$40))))=YEAR(Y17)),'Project Information'!$C$40,0)</f>
        <v>0</v>
      </c>
      <c r="Z35" s="313">
        <f>IF(AND(MONTH((DATE(1899,12,31)+(0*7+IF('Project Information'!$D$40&gt;60,'Project Information'!$D$40-1,'Project Information'!$D$40))))=MONTH(Z17),YEAR((DATE(1899,12,31)+(0*7+IF('Project Information'!$D$40&gt;60,'Project Information'!$D$40-1,'Project Information'!$D$40))))=YEAR(Z17)),'Project Information'!$C$40,0)</f>
        <v>0</v>
      </c>
      <c r="AA35" s="313">
        <f>IF(AND(MONTH((DATE(1899,12,31)+(0*7+IF('Project Information'!$D$40&gt;60,'Project Information'!$D$40-1,'Project Information'!$D$40))))=MONTH(AA17),YEAR((DATE(1899,12,31)+(0*7+IF('Project Information'!$D$40&gt;60,'Project Information'!$D$40-1,'Project Information'!$D$40))))=YEAR(AA17)),'Project Information'!$C$40,0)</f>
        <v>0</v>
      </c>
      <c r="AB35" s="313">
        <f>IF(AND(MONTH((DATE(1899,12,31)+(0*7+IF('Project Information'!$D$40&gt;60,'Project Information'!$D$40-1,'Project Information'!$D$40))))=MONTH(AB17),YEAR((DATE(1899,12,31)+(0*7+IF('Project Information'!$D$40&gt;60,'Project Information'!$D$40-1,'Project Information'!$D$40))))=YEAR(AB17)),'Project Information'!$C$40,0)</f>
        <v>0</v>
      </c>
      <c r="AC35" s="313">
        <f>IF(AND(MONTH((DATE(1899,12,31)+(0*7+IF('Project Information'!$D$40&gt;60,'Project Information'!$D$40-1,'Project Information'!$D$40))))=MONTH(AC17),YEAR((DATE(1899,12,31)+(0*7+IF('Project Information'!$D$40&gt;60,'Project Information'!$D$40-1,'Project Information'!$D$40))))=YEAR(AC17)),'Project Information'!$C$40,0)</f>
        <v>0</v>
      </c>
      <c r="AD35" s="313">
        <f>IF(AND(MONTH((DATE(1899,12,31)+(0*7+IF('Project Information'!$D$40&gt;60,'Project Information'!$D$40-1,'Project Information'!$D$40))))=MONTH(AD17),YEAR((DATE(1899,12,31)+(0*7+IF('Project Information'!$D$40&gt;60,'Project Information'!$D$40-1,'Project Information'!$D$40))))=YEAR(AD17)),'Project Information'!$C$40,0)</f>
        <v>0</v>
      </c>
      <c r="AE35" s="313">
        <f>IF(AND(MONTH((DATE(1899,12,31)+(0*7+IF('Project Information'!$D$40&gt;60,'Project Information'!$D$40-1,'Project Information'!$D$40))))=MONTH(AE17),YEAR((DATE(1899,12,31)+(0*7+IF('Project Information'!$D$40&gt;60,'Project Information'!$D$40-1,'Project Information'!$D$40))))=YEAR(AE17)),'Project Information'!$C$40,0)</f>
        <v>0</v>
      </c>
      <c r="AF35" s="313">
        <f>IF(AND(MONTH((DATE(1899,12,31)+(0*7+IF('Project Information'!$D$40&gt;60,'Project Information'!$D$40-1,'Project Information'!$D$40))))=MONTH(AF17),YEAR((DATE(1899,12,31)+(0*7+IF('Project Information'!$D$40&gt;60,'Project Information'!$D$40-1,'Project Information'!$D$40))))=YEAR(AF17)),'Project Information'!$C$40,0)</f>
        <v>0</v>
      </c>
      <c r="AG35" s="313">
        <f>IF(AND(MONTH((DATE(1899,12,31)+(0*7+IF('Project Information'!$D$40&gt;60,'Project Information'!$D$40-1,'Project Information'!$D$40))))=MONTH(AG17),YEAR((DATE(1899,12,31)+(0*7+IF('Project Information'!$D$40&gt;60,'Project Information'!$D$40-1,'Project Information'!$D$40))))=YEAR(AG17)),'Project Information'!$C$40,0)</f>
        <v>0</v>
      </c>
      <c r="AH35" s="312">
        <f>SUM(V35:AG35)</f>
        <v>0</v>
      </c>
      <c r="AI35" s="313">
        <f>IF(AND(MONTH((DATE(1899,12,31)+(0*7+IF('Project Information'!$D$40&gt;60,'Project Information'!$D$40-1,'Project Information'!$D$40))))=MONTH(AI17),YEAR((DATE(1899,12,31)+(0*7+IF('Project Information'!$D$40&gt;60,'Project Information'!$D$40-1,'Project Information'!$D$40))))=YEAR(AI17)),'Project Information'!$C$40,0)</f>
        <v>0</v>
      </c>
      <c r="AJ35" s="313">
        <f>IF(AND(MONTH((DATE(1899,12,31)+(0*7+IF('Project Information'!$D$40&gt;60,'Project Information'!$D$40-1,'Project Information'!$D$40))))=MONTH(AJ17),YEAR((DATE(1899,12,31)+(0*7+IF('Project Information'!$D$40&gt;60,'Project Information'!$D$40-1,'Project Information'!$D$40))))=YEAR(AJ17)),'Project Information'!$C$40,0)</f>
        <v>0</v>
      </c>
      <c r="AK35" s="313">
        <f>IF(AND(MONTH((DATE(1899,12,31)+(0*7+IF('Project Information'!$D$40&gt;60,'Project Information'!$D$40-1,'Project Information'!$D$40))))=MONTH(AK17),YEAR((DATE(1899,12,31)+(0*7+IF('Project Information'!$D$40&gt;60,'Project Information'!$D$40-1,'Project Information'!$D$40))))=YEAR(AK17)),'Project Information'!$C$40,0)</f>
        <v>0</v>
      </c>
      <c r="AL35" s="313">
        <f>IF(AND(MONTH((DATE(1899,12,31)+(0*7+IF('Project Information'!$D$40&gt;60,'Project Information'!$D$40-1,'Project Information'!$D$40))))=MONTH(AL17),YEAR((DATE(1899,12,31)+(0*7+IF('Project Information'!$D$40&gt;60,'Project Information'!$D$40-1,'Project Information'!$D$40))))=YEAR(AL17)),'Project Information'!$C$40,0)</f>
        <v>0</v>
      </c>
      <c r="AM35" s="313">
        <f>IF(AND(MONTH((DATE(1899,12,31)+(0*7+IF('Project Information'!$D$40&gt;60,'Project Information'!$D$40-1,'Project Information'!$D$40))))=MONTH(AM17),YEAR((DATE(1899,12,31)+(0*7+IF('Project Information'!$D$40&gt;60,'Project Information'!$D$40-1,'Project Information'!$D$40))))=YEAR(AM17)),'Project Information'!$C$40,0)</f>
        <v>0</v>
      </c>
      <c r="AN35" s="313">
        <f>IF(AND(MONTH((DATE(1899,12,31)+(0*7+IF('Project Information'!$D$40&gt;60,'Project Information'!$D$40-1,'Project Information'!$D$40))))=MONTH(AN17),YEAR((DATE(1899,12,31)+(0*7+IF('Project Information'!$D$40&gt;60,'Project Information'!$D$40-1,'Project Information'!$D$40))))=YEAR(AN17)),'Project Information'!$C$40,0)</f>
        <v>0</v>
      </c>
      <c r="AO35" s="313">
        <f>IF(AND(MONTH((DATE(1899,12,31)+(0*7+IF('Project Information'!$D$40&gt;60,'Project Information'!$D$40-1,'Project Information'!$D$40))))=MONTH(AO17),YEAR((DATE(1899,12,31)+(0*7+IF('Project Information'!$D$40&gt;60,'Project Information'!$D$40-1,'Project Information'!$D$40))))=YEAR(AO17)),'Project Information'!$C$40,0)</f>
        <v>0</v>
      </c>
      <c r="AP35" s="313">
        <f>IF(AND(MONTH((DATE(1899,12,31)+(0*7+IF('Project Information'!$D$40&gt;60,'Project Information'!$D$40-1,'Project Information'!$D$40))))=MONTH(AP17),YEAR((DATE(1899,12,31)+(0*7+IF('Project Information'!$D$40&gt;60,'Project Information'!$D$40-1,'Project Information'!$D$40))))=YEAR(AP17)),'Project Information'!$C$40,0)</f>
        <v>0</v>
      </c>
      <c r="AQ35" s="313">
        <f>IF(AND(MONTH((DATE(1899,12,31)+(0*7+IF('Project Information'!$D$40&gt;60,'Project Information'!$D$40-1,'Project Information'!$D$40))))=MONTH(AQ17),YEAR((DATE(1899,12,31)+(0*7+IF('Project Information'!$D$40&gt;60,'Project Information'!$D$40-1,'Project Information'!$D$40))))=YEAR(AQ17)),'Project Information'!$C$40,0)</f>
        <v>0</v>
      </c>
      <c r="AR35" s="313">
        <f>IF(AND(MONTH((DATE(1899,12,31)+(0*7+IF('Project Information'!$D$40&gt;60,'Project Information'!$D$40-1,'Project Information'!$D$40))))=MONTH(AR17),YEAR((DATE(1899,12,31)+(0*7+IF('Project Information'!$D$40&gt;60,'Project Information'!$D$40-1,'Project Information'!$D$40))))=YEAR(AR17)),'Project Information'!$C$40,0)</f>
        <v>0</v>
      </c>
      <c r="AS35" s="313">
        <f>IF(AND(MONTH((DATE(1899,12,31)+(0*7+IF('Project Information'!$D$40&gt;60,'Project Information'!$D$40-1,'Project Information'!$D$40))))=MONTH(AS17),YEAR((DATE(1899,12,31)+(0*7+IF('Project Information'!$D$40&gt;60,'Project Information'!$D$40-1,'Project Information'!$D$40))))=YEAR(AS17)),'Project Information'!$C$40,0)</f>
        <v>0</v>
      </c>
      <c r="AT35" s="313">
        <f>IF(AND(MONTH((DATE(1899,12,31)+(0*7+IF('Project Information'!$D$40&gt;60,'Project Information'!$D$40-1,'Project Information'!$D$40))))=MONTH(AT17),YEAR((DATE(1899,12,31)+(0*7+IF('Project Information'!$D$40&gt;60,'Project Information'!$D$40-1,'Project Information'!$D$40))))=YEAR(AT17)),'Project Information'!$C$40,0)</f>
        <v>0</v>
      </c>
      <c r="AU35" s="312">
        <f>SUM(AI35:AT35)</f>
        <v>0</v>
      </c>
      <c r="AV35" s="116"/>
      <c r="AW35" s="208"/>
      <c r="AX35" s="208"/>
      <c r="AY35" s="208"/>
      <c r="AZ35" s="211"/>
    </row>
    <row r="36" ht="12.75" customHeight="1">
      <c r="A36" s="302"/>
      <c r="B36" s="303"/>
      <c r="C36" s="287"/>
      <c r="D36" t="s" s="288">
        <v>604</v>
      </c>
      <c r="E36" s="310"/>
      <c r="F36" s="290">
        <v>0</v>
      </c>
      <c r="G36" s="287"/>
      <c r="H36" s="290">
        <v>0</v>
      </c>
      <c r="I36" s="313">
        <f>IF(AND(MONTH('Project Information'!$H$49)=MONTH(I17),YEAR('Project Information'!$H$49)=YEAR(I17)),'Project Information'!$H$48,0)</f>
        <v>0</v>
      </c>
      <c r="J36" s="313">
        <f>IF(AND(MONTH('Project Information'!$H$49)=MONTH(J17),YEAR('Project Information'!$H$49)=YEAR(J17)),'Project Information'!$H$48,0)</f>
        <v>0</v>
      </c>
      <c r="K36" s="313">
        <f>IF(AND(MONTH('Project Information'!$H$49)=MONTH(K17),YEAR('Project Information'!$H$49)=YEAR(K17)),'Project Information'!$H$48,0)</f>
        <v>0</v>
      </c>
      <c r="L36" s="313">
        <f>IF(AND(MONTH('Project Information'!$H$49)=MONTH(L17),YEAR('Project Information'!$H$49)=YEAR(L17)),'Project Information'!$H$48,0)</f>
        <v>0</v>
      </c>
      <c r="M36" s="313">
        <f>IF(AND(MONTH('Project Information'!$H$49)=MONTH(M17),YEAR('Project Information'!$H$49)=YEAR(M17)),'Project Information'!$H$48,0)</f>
        <v>0</v>
      </c>
      <c r="N36" s="313">
        <f>IF(AND(MONTH('Project Information'!$H$49)=MONTH(N17),YEAR('Project Information'!$H$49)=YEAR(N17)),'Project Information'!$H$48,0)</f>
        <v>0</v>
      </c>
      <c r="O36" s="313">
        <f>IF(AND(MONTH('Project Information'!$H$49)=MONTH(O17),YEAR('Project Information'!$H$49)=YEAR(O17)),'Project Information'!$H$48,0)</f>
        <v>0</v>
      </c>
      <c r="P36" s="313">
        <f>IF(AND(MONTH('Project Information'!$H$49)=MONTH(P17),YEAR('Project Information'!$H$49)=YEAR(P17)),'Project Information'!$H$48,0)</f>
        <v>0</v>
      </c>
      <c r="Q36" s="313">
        <f>IF(AND(MONTH('Project Information'!$H$49)=MONTH(Q17),YEAR('Project Information'!$H$49)=YEAR(Q17)),'Project Information'!$H$48,0)</f>
        <v>0</v>
      </c>
      <c r="R36" s="313">
        <f>IF(AND(MONTH('Project Information'!$H$49)=MONTH(R17),YEAR('Project Information'!$H$49)=YEAR(R17)),'Project Information'!$H$48,0)</f>
        <v>0</v>
      </c>
      <c r="S36" s="313">
        <f>IF(AND(MONTH('Project Information'!$H$49)=MONTH(S17),YEAR('Project Information'!$H$49)=YEAR(S17)),'Project Information'!$H$48,0)</f>
        <v>0</v>
      </c>
      <c r="T36" s="313">
        <f>IF(AND(MONTH('Project Information'!$H$49)=MONTH(T17),YEAR('Project Information'!$H$49)=YEAR(T17)),'Project Information'!$H$48,0)</f>
        <v>0</v>
      </c>
      <c r="U36" s="312">
        <f>SUM(I36:T36)</f>
        <v>0</v>
      </c>
      <c r="V36" s="313">
        <f>IF(AND(MONTH('Project Information'!$H$49)=MONTH(V17),YEAR('Project Information'!$H$49)=YEAR(V17)),'Project Information'!$H$48,0)</f>
        <v>0</v>
      </c>
      <c r="W36" s="313">
        <f>IF(AND(MONTH('Project Information'!$H$49)=MONTH(W17),YEAR('Project Information'!$H$49)=YEAR(W17)),'Project Information'!$H$48,0)</f>
        <v>0</v>
      </c>
      <c r="X36" s="313">
        <f>IF(AND(MONTH('Project Information'!$H$49)=MONTH(X17),YEAR('Project Information'!$H$49)=YEAR(X17)),'Project Information'!$H$48,0)</f>
        <v>0</v>
      </c>
      <c r="Y36" s="313">
        <f>IF(AND(MONTH('Project Information'!$H$49)=MONTH(Y17),YEAR('Project Information'!$H$49)=YEAR(Y17)),'Project Information'!$H$48,0)</f>
        <v>0</v>
      </c>
      <c r="Z36" s="313">
        <f>IF(AND(MONTH('Project Information'!$H$49)=MONTH(Z17),YEAR('Project Information'!$H$49)=YEAR(Z17)),'Project Information'!$H$48,0)</f>
        <v>0</v>
      </c>
      <c r="AA36" s="313">
        <f>IF(AND(MONTH('Project Information'!$H$49)=MONTH(AA17),YEAR('Project Information'!$H$49)=YEAR(AA17)),'Project Information'!$H$48,0)</f>
        <v>0</v>
      </c>
      <c r="AB36" s="313">
        <f>IF(AND(MONTH('Project Information'!$H$49)=MONTH(AB17),YEAR('Project Information'!$H$49)=YEAR(AB17)),'Project Information'!$H$48,0)</f>
        <v>0</v>
      </c>
      <c r="AC36" s="313">
        <f>IF(AND(MONTH('Project Information'!$H$49)=MONTH(AC17),YEAR('Project Information'!$H$49)=YEAR(AC17)),'Project Information'!$H$48,0)</f>
        <v>0</v>
      </c>
      <c r="AD36" s="313">
        <f>IF(AND(MONTH('Project Information'!$H$49)=MONTH(AD17),YEAR('Project Information'!$H$49)=YEAR(AD17)),'Project Information'!$H$48,0)</f>
        <v>0</v>
      </c>
      <c r="AE36" s="313">
        <f>IF(AND(MONTH('Project Information'!$H$49)=MONTH(AE17),YEAR('Project Information'!$H$49)=YEAR(AE17)),'Project Information'!$H$48,0)</f>
        <v>0</v>
      </c>
      <c r="AF36" s="313">
        <f>IF(AND(MONTH('Project Information'!$H$49)=MONTH(AF17),YEAR('Project Information'!$H$49)=YEAR(AF17)),'Project Information'!$H$48,0)</f>
        <v>0</v>
      </c>
      <c r="AG36" s="313">
        <f>IF(AND(MONTH('Project Information'!$H$49)=MONTH(AG17),YEAR('Project Information'!$H$49)=YEAR(AG17)),'Project Information'!$H$48,0)</f>
        <v>0</v>
      </c>
      <c r="AH36" s="312">
        <f>SUM(V36:AG36)</f>
        <v>0</v>
      </c>
      <c r="AI36" s="313">
        <f>IF(AND(MONTH('Project Information'!$H$49)=MONTH(AI17),YEAR('Project Information'!$H$49)=YEAR(AI17)),'Project Information'!$H$48,0)</f>
        <v>0</v>
      </c>
      <c r="AJ36" s="313">
        <f>IF(AND(MONTH('Project Information'!$H$49)=MONTH(AJ17),YEAR('Project Information'!$H$49)=YEAR(AJ17)),'Project Information'!$H$48,0)</f>
        <v>0</v>
      </c>
      <c r="AK36" s="313">
        <f>IF(AND(MONTH('Project Information'!$H$49)=MONTH(AK17),YEAR('Project Information'!$H$49)=YEAR(AK17)),'Project Information'!$H$48,0)</f>
        <v>0</v>
      </c>
      <c r="AL36" s="313">
        <f>IF(AND(MONTH('Project Information'!$H$49)=MONTH(AL17),YEAR('Project Information'!$H$49)=YEAR(AL17)),'Project Information'!$H$48,0)</f>
        <v>0</v>
      </c>
      <c r="AM36" s="313">
        <f>IF(AND(MONTH('Project Information'!$H$49)=MONTH(AM17),YEAR('Project Information'!$H$49)=YEAR(AM17)),'Project Information'!$H$48,0)</f>
        <v>0</v>
      </c>
      <c r="AN36" s="313">
        <f>IF(AND(MONTH('Project Information'!$H$49)=MONTH(AN17),YEAR('Project Information'!$H$49)=YEAR(AN17)),'Project Information'!$H$48,0)</f>
        <v>0</v>
      </c>
      <c r="AO36" s="313">
        <f>IF(AND(MONTH('Project Information'!$H$49)=MONTH(AO17),YEAR('Project Information'!$H$49)=YEAR(AO17)),'Project Information'!$H$48,0)</f>
        <v>0</v>
      </c>
      <c r="AP36" s="313">
        <f>IF(AND(MONTH('Project Information'!$H$49)=MONTH(AP17),YEAR('Project Information'!$H$49)=YEAR(AP17)),'Project Information'!$H$48,0)</f>
        <v>0</v>
      </c>
      <c r="AQ36" s="313">
        <f>IF(AND(MONTH('Project Information'!$H$49)=MONTH(AQ17),YEAR('Project Information'!$H$49)=YEAR(AQ17)),'Project Information'!$H$48,0)</f>
        <v>0</v>
      </c>
      <c r="AR36" s="313">
        <f>IF(AND(MONTH('Project Information'!$H$49)=MONTH(AR17),YEAR('Project Information'!$H$49)=YEAR(AR17)),'Project Information'!$H$48,0)</f>
        <v>0</v>
      </c>
      <c r="AS36" s="313">
        <f>IF(AND(MONTH('Project Information'!$H$49)=MONTH(AS17),YEAR('Project Information'!$H$49)=YEAR(AS17)),'Project Information'!$H$48,0)</f>
        <v>0</v>
      </c>
      <c r="AT36" s="313">
        <f>IF(AND(MONTH('Project Information'!$H$49)=MONTH(AT17),YEAR('Project Information'!$H$49)=YEAR(AT17)),'Project Information'!$H$48,0)</f>
        <v>0</v>
      </c>
      <c r="AU36" s="312">
        <f>SUM(AI36:AT36)</f>
        <v>0</v>
      </c>
      <c r="AV36" s="116"/>
      <c r="AW36" s="208"/>
      <c r="AX36" s="208"/>
      <c r="AY36" s="208"/>
      <c r="AZ36" s="211"/>
    </row>
    <row r="37" ht="12.75" customHeight="1">
      <c r="A37" s="302"/>
      <c r="B37" s="303"/>
      <c r="C37" s="287"/>
      <c r="D37" t="s" s="288">
        <v>605</v>
      </c>
      <c r="E37" s="310"/>
      <c r="F37" s="290">
        <v>0</v>
      </c>
      <c r="G37" s="287"/>
      <c r="H37" s="290">
        <v>0</v>
      </c>
      <c r="I37" s="313">
        <f>'Shared Ownership'!AQ22</f>
        <v>0</v>
      </c>
      <c r="J37" s="313">
        <f>'Shared Ownership'!AR22</f>
        <v>0</v>
      </c>
      <c r="K37" s="313">
        <f>'Shared Ownership'!AS22</f>
        <v>0</v>
      </c>
      <c r="L37" s="313">
        <f>'Shared Ownership'!AT22</f>
        <v>0</v>
      </c>
      <c r="M37" s="313">
        <f>'Shared Ownership'!AU22</f>
        <v>0</v>
      </c>
      <c r="N37" s="313">
        <f>'Shared Ownership'!AV22</f>
        <v>0</v>
      </c>
      <c r="O37" s="313">
        <f>'Shared Ownership'!AW22</f>
        <v>0</v>
      </c>
      <c r="P37" s="313">
        <f>'Shared Ownership'!AX22</f>
        <v>0</v>
      </c>
      <c r="Q37" s="313">
        <f>'Shared Ownership'!AY22</f>
        <v>0</v>
      </c>
      <c r="R37" s="313">
        <f>'Shared Ownership'!AZ22</f>
        <v>0</v>
      </c>
      <c r="S37" s="313">
        <f>'Shared Ownership'!BA22</f>
        <v>0</v>
      </c>
      <c r="T37" s="313">
        <f>'Shared Ownership'!BB22</f>
        <v>0</v>
      </c>
      <c r="U37" s="312">
        <f>SUM(I37:T37)</f>
        <v>0</v>
      </c>
      <c r="V37" s="313">
        <f>'Shared Ownership'!BC22</f>
        <v>0</v>
      </c>
      <c r="W37" s="313">
        <f>'Shared Ownership'!BD22</f>
        <v>0</v>
      </c>
      <c r="X37" s="313">
        <f>'Shared Ownership'!BE22</f>
        <v>0</v>
      </c>
      <c r="Y37" s="313">
        <f>'Shared Ownership'!BF22</f>
        <v>0</v>
      </c>
      <c r="Z37" s="313">
        <f>'Shared Ownership'!BG22</f>
        <v>0</v>
      </c>
      <c r="AA37" s="313">
        <f>'Shared Ownership'!BH22</f>
        <v>0</v>
      </c>
      <c r="AB37" s="313">
        <f>'Shared Ownership'!BI22</f>
        <v>0</v>
      </c>
      <c r="AC37" s="313">
        <f>'Shared Ownership'!BJ22</f>
        <v>0</v>
      </c>
      <c r="AD37" s="313">
        <f>'Shared Ownership'!BK22</f>
        <v>0</v>
      </c>
      <c r="AE37" s="313">
        <f>'Shared Ownership'!BL22</f>
        <v>0</v>
      </c>
      <c r="AF37" s="313">
        <f>'Shared Ownership'!BM22</f>
        <v>0</v>
      </c>
      <c r="AG37" s="313">
        <f>'Shared Ownership'!BN22</f>
        <v>0</v>
      </c>
      <c r="AH37" s="312">
        <f>SUM(V37:AG37)</f>
        <v>0</v>
      </c>
      <c r="AI37" s="313">
        <f>'Shared Ownership'!BO22</f>
        <v>0</v>
      </c>
      <c r="AJ37" s="313">
        <f>'Shared Ownership'!BP22</f>
        <v>0</v>
      </c>
      <c r="AK37" s="313">
        <f>'Shared Ownership'!BQ22</f>
        <v>0</v>
      </c>
      <c r="AL37" s="313">
        <f>'Shared Ownership'!BR22</f>
        <v>0</v>
      </c>
      <c r="AM37" s="313">
        <f>'Shared Ownership'!BS22</f>
        <v>0</v>
      </c>
      <c r="AN37" s="313">
        <f>'Shared Ownership'!BT22</f>
        <v>0</v>
      </c>
      <c r="AO37" s="313">
        <f>'Shared Ownership'!BU22</f>
        <v>0</v>
      </c>
      <c r="AP37" s="313">
        <f>'Shared Ownership'!BV22</f>
        <v>0</v>
      </c>
      <c r="AQ37" s="313">
        <f>'Shared Ownership'!BW22</f>
        <v>0</v>
      </c>
      <c r="AR37" s="313">
        <f>'Shared Ownership'!BX22</f>
        <v>0</v>
      </c>
      <c r="AS37" s="313">
        <f>'Shared Ownership'!BY22</f>
        <v>0</v>
      </c>
      <c r="AT37" s="313">
        <f>'Shared Ownership'!BZ22</f>
        <v>0</v>
      </c>
      <c r="AU37" s="312">
        <f>SUM(AI37:AT37)</f>
        <v>0</v>
      </c>
      <c r="AV37" s="116"/>
      <c r="AW37" s="208"/>
      <c r="AX37" s="208"/>
      <c r="AY37" s="208"/>
      <c r="AZ37" s="211"/>
    </row>
    <row r="38" ht="12.75" customHeight="1">
      <c r="A38" s="302"/>
      <c r="B38" s="303"/>
      <c r="C38" s="287"/>
      <c r="D38" t="s" s="288">
        <v>606</v>
      </c>
      <c r="E38" s="310"/>
      <c r="F38" s="290">
        <v>0</v>
      </c>
      <c r="G38" s="287"/>
      <c r="H38" s="290">
        <v>0</v>
      </c>
      <c r="I38" s="313">
        <f>'Limited Equity'!AG22</f>
        <v>0</v>
      </c>
      <c r="J38" s="313">
        <f>'Limited Equity'!AH22</f>
        <v>0</v>
      </c>
      <c r="K38" s="313">
        <f>'Limited Equity'!AI22</f>
        <v>0</v>
      </c>
      <c r="L38" s="313">
        <f>'Limited Equity'!AJ22</f>
        <v>0</v>
      </c>
      <c r="M38" s="313">
        <f>'Limited Equity'!AK22</f>
        <v>0</v>
      </c>
      <c r="N38" s="313">
        <f>'Limited Equity'!AL22</f>
        <v>0</v>
      </c>
      <c r="O38" s="313">
        <f>'Limited Equity'!AM22</f>
        <v>0</v>
      </c>
      <c r="P38" s="313">
        <f>'Limited Equity'!AN22</f>
        <v>0</v>
      </c>
      <c r="Q38" s="313">
        <f>'Limited Equity'!AO22</f>
        <v>0</v>
      </c>
      <c r="R38" s="313">
        <f>'Limited Equity'!AP22</f>
        <v>0</v>
      </c>
      <c r="S38" s="313">
        <f>'Limited Equity'!AQ22</f>
        <v>0</v>
      </c>
      <c r="T38" s="313">
        <f>'Limited Equity'!AR22</f>
        <v>0</v>
      </c>
      <c r="U38" s="312">
        <f>SUM(I38:T38)</f>
        <v>0</v>
      </c>
      <c r="V38" s="313">
        <f>'Limited Equity'!AS22</f>
        <v>0</v>
      </c>
      <c r="W38" s="313">
        <f>'Limited Equity'!AT22</f>
        <v>0</v>
      </c>
      <c r="X38" s="313">
        <f>'Limited Equity'!AU22</f>
        <v>0</v>
      </c>
      <c r="Y38" s="313">
        <f>'Limited Equity'!AV22</f>
        <v>0</v>
      </c>
      <c r="Z38" s="313">
        <f>'Limited Equity'!AW22</f>
        <v>0</v>
      </c>
      <c r="AA38" s="313">
        <f>'Limited Equity'!AX22</f>
        <v>0</v>
      </c>
      <c r="AB38" s="313">
        <f>'Limited Equity'!AY22</f>
        <v>0</v>
      </c>
      <c r="AC38" s="313">
        <f>'Limited Equity'!AZ22</f>
        <v>0</v>
      </c>
      <c r="AD38" s="313">
        <f>'Limited Equity'!BA22</f>
        <v>0</v>
      </c>
      <c r="AE38" s="313">
        <f>'Limited Equity'!BB22</f>
        <v>0</v>
      </c>
      <c r="AF38" s="313">
        <f>'Limited Equity'!BC22</f>
        <v>0</v>
      </c>
      <c r="AG38" s="313">
        <f>'Limited Equity'!BD22</f>
        <v>0</v>
      </c>
      <c r="AH38" s="312">
        <f>SUM(V38:AG38)</f>
        <v>0</v>
      </c>
      <c r="AI38" s="313">
        <f>'Limited Equity'!BE22</f>
        <v>0</v>
      </c>
      <c r="AJ38" s="313">
        <f>'Limited Equity'!BF22</f>
        <v>0</v>
      </c>
      <c r="AK38" s="313">
        <f>'Limited Equity'!BG22</f>
        <v>0</v>
      </c>
      <c r="AL38" s="313">
        <f>'Limited Equity'!BH22</f>
        <v>0</v>
      </c>
      <c r="AM38" s="313">
        <f>'Limited Equity'!BI22</f>
        <v>0</v>
      </c>
      <c r="AN38" s="313">
        <f>'Limited Equity'!BJ22</f>
        <v>0</v>
      </c>
      <c r="AO38" s="313">
        <f>'Limited Equity'!BK22</f>
        <v>0</v>
      </c>
      <c r="AP38" s="313">
        <f>'Limited Equity'!BL22</f>
        <v>0</v>
      </c>
      <c r="AQ38" s="313">
        <f>'Limited Equity'!BM22</f>
        <v>0</v>
      </c>
      <c r="AR38" s="313">
        <f>'Limited Equity'!BN22</f>
        <v>0</v>
      </c>
      <c r="AS38" s="313">
        <f>'Limited Equity'!BO22</f>
        <v>0</v>
      </c>
      <c r="AT38" s="313">
        <f>'Limited Equity'!BP22</f>
        <v>0</v>
      </c>
      <c r="AU38" s="312">
        <f>SUM(AI38:AT38)</f>
        <v>0</v>
      </c>
      <c r="AV38" s="116"/>
      <c r="AW38" s="208"/>
      <c r="AX38" s="208"/>
      <c r="AY38" s="208"/>
      <c r="AZ38" s="211"/>
    </row>
    <row r="39" ht="13.5" customHeight="1">
      <c r="A39" s="302"/>
      <c r="B39" s="303"/>
      <c r="C39" s="287"/>
      <c r="D39" t="s" s="314">
        <v>607</v>
      </c>
      <c r="E39" s="315"/>
      <c r="F39" s="300">
        <v>790000</v>
      </c>
      <c r="G39" s="316"/>
      <c r="H39" s="300">
        <v>790000</v>
      </c>
      <c r="I39" s="317">
        <v>0</v>
      </c>
      <c r="J39" s="317">
        <v>0</v>
      </c>
      <c r="K39" s="317">
        <v>0</v>
      </c>
      <c r="L39" s="317">
        <v>0</v>
      </c>
      <c r="M39" s="317">
        <v>0</v>
      </c>
      <c r="N39" s="317">
        <v>0</v>
      </c>
      <c r="O39" s="317">
        <v>0</v>
      </c>
      <c r="P39" s="317">
        <v>0</v>
      </c>
      <c r="Q39" s="317">
        <v>0</v>
      </c>
      <c r="R39" s="317">
        <v>0</v>
      </c>
      <c r="S39" s="317">
        <v>0</v>
      </c>
      <c r="T39" s="317">
        <v>0</v>
      </c>
      <c r="U39" s="318">
        <f>SUM(I39:T39)</f>
        <v>0</v>
      </c>
      <c r="V39" s="317">
        <v>0</v>
      </c>
      <c r="W39" s="317">
        <v>0</v>
      </c>
      <c r="X39" s="317">
        <v>0</v>
      </c>
      <c r="Y39" s="317">
        <v>230000</v>
      </c>
      <c r="Z39" s="317">
        <v>560000</v>
      </c>
      <c r="AA39" s="317">
        <v>0</v>
      </c>
      <c r="AB39" s="317">
        <v>0</v>
      </c>
      <c r="AC39" s="317">
        <v>0</v>
      </c>
      <c r="AD39" s="317">
        <v>0</v>
      </c>
      <c r="AE39" s="317">
        <v>0</v>
      </c>
      <c r="AF39" s="317">
        <v>0</v>
      </c>
      <c r="AG39" s="317">
        <v>0</v>
      </c>
      <c r="AH39" s="318">
        <f>SUM(V39:AG39)</f>
        <v>790000</v>
      </c>
      <c r="AI39" s="317">
        <v>0</v>
      </c>
      <c r="AJ39" s="317">
        <v>0</v>
      </c>
      <c r="AK39" s="317">
        <v>0</v>
      </c>
      <c r="AL39" s="317">
        <v>0</v>
      </c>
      <c r="AM39" s="317">
        <v>0</v>
      </c>
      <c r="AN39" s="317">
        <v>0</v>
      </c>
      <c r="AO39" s="317">
        <v>0</v>
      </c>
      <c r="AP39" s="317">
        <v>0</v>
      </c>
      <c r="AQ39" s="317">
        <v>0</v>
      </c>
      <c r="AR39" s="317">
        <v>0</v>
      </c>
      <c r="AS39" s="317">
        <v>0</v>
      </c>
      <c r="AT39" s="317">
        <v>0</v>
      </c>
      <c r="AU39" s="318">
        <f>SUM(AI39:AT39)</f>
        <v>0</v>
      </c>
      <c r="AV39" s="116"/>
      <c r="AW39" s="208"/>
      <c r="AX39" s="208"/>
      <c r="AY39" s="208"/>
      <c r="AZ39" s="211"/>
    </row>
    <row r="40" ht="13.5" customHeight="1">
      <c r="A40" s="302"/>
      <c r="B40" s="303"/>
      <c r="C40" s="319"/>
      <c r="D40" t="s" s="320">
        <v>608</v>
      </c>
      <c r="E40" s="321"/>
      <c r="F40" s="322">
        <f>SUM(F32:F39)</f>
        <v>915000</v>
      </c>
      <c r="G40" s="322"/>
      <c r="H40" s="323">
        <f>SUM(H32:H39)</f>
        <v>915000</v>
      </c>
      <c r="I40" s="324">
        <f>SUM(I32:I39)</f>
        <v>0</v>
      </c>
      <c r="J40" s="324">
        <f>SUM(J32:J39)</f>
        <v>0</v>
      </c>
      <c r="K40" s="324">
        <f>SUM(K32:K39)</f>
        <v>0</v>
      </c>
      <c r="L40" s="324">
        <f>SUM(L32:L39)</f>
        <v>75000</v>
      </c>
      <c r="M40" s="324">
        <f>SUM(M32:M39)</f>
        <v>50000</v>
      </c>
      <c r="N40" s="324">
        <f>SUM(N32:N39)</f>
        <v>0</v>
      </c>
      <c r="O40" s="324">
        <f>SUM(O32:O39)</f>
        <v>0</v>
      </c>
      <c r="P40" s="324">
        <f>SUM(P32:P39)</f>
        <v>0</v>
      </c>
      <c r="Q40" s="324">
        <f>SUM(Q32:Q39)</f>
        <v>0</v>
      </c>
      <c r="R40" s="324">
        <f>SUM(R32:R39)</f>
        <v>0</v>
      </c>
      <c r="S40" s="324">
        <f>SUM(S32:S39)</f>
        <v>0</v>
      </c>
      <c r="T40" s="324">
        <f>SUM(T32:T39)</f>
        <v>0</v>
      </c>
      <c r="U40" s="324">
        <f>SUM(U32:U39)</f>
        <v>125000</v>
      </c>
      <c r="V40" s="324">
        <f>SUM(V32:V39)</f>
        <v>0</v>
      </c>
      <c r="W40" s="324">
        <f>SUM(W32:W39)</f>
        <v>0</v>
      </c>
      <c r="X40" s="324">
        <f>SUM(X32:X39)</f>
        <v>0</v>
      </c>
      <c r="Y40" s="324">
        <f>SUM(Y32:Y39)</f>
        <v>230000</v>
      </c>
      <c r="Z40" s="324">
        <f>SUM(Z32:Z39)</f>
        <v>560000</v>
      </c>
      <c r="AA40" s="324">
        <f>SUM(AA32:AA39)</f>
        <v>0</v>
      </c>
      <c r="AB40" s="324">
        <f>SUM(AB32:AB39)</f>
        <v>0</v>
      </c>
      <c r="AC40" s="324">
        <f>SUM(AC32:AC39)</f>
        <v>0</v>
      </c>
      <c r="AD40" s="324">
        <f>SUM(AD32:AD39)</f>
        <v>0</v>
      </c>
      <c r="AE40" s="324">
        <f>SUM(AE32:AE39)</f>
        <v>0</v>
      </c>
      <c r="AF40" s="324">
        <f>SUM(AF32:AF39)</f>
        <v>0</v>
      </c>
      <c r="AG40" s="324">
        <f>SUM(AG32:AG39)</f>
        <v>0</v>
      </c>
      <c r="AH40" s="324">
        <f>SUM(AH32:AH39)</f>
        <v>790000</v>
      </c>
      <c r="AI40" s="324">
        <f>SUM(AI32:AI39)</f>
        <v>0</v>
      </c>
      <c r="AJ40" s="324">
        <f>SUM(AJ32:AJ39)</f>
        <v>0</v>
      </c>
      <c r="AK40" s="324">
        <f>SUM(AK32:AK39)</f>
        <v>0</v>
      </c>
      <c r="AL40" s="324">
        <f>SUM(AL32:AL39)</f>
        <v>0</v>
      </c>
      <c r="AM40" s="324">
        <f>SUM(AM32:AM39)</f>
        <v>0</v>
      </c>
      <c r="AN40" s="324">
        <f>SUM(AN32:AN39)</f>
        <v>0</v>
      </c>
      <c r="AO40" s="324">
        <f>SUM(AO32:AO39)</f>
        <v>0</v>
      </c>
      <c r="AP40" s="324">
        <f>SUM(AP32:AP39)</f>
        <v>0</v>
      </c>
      <c r="AQ40" s="324">
        <f>SUM(AQ32:AQ39)</f>
        <v>0</v>
      </c>
      <c r="AR40" s="324">
        <f>SUM(AR32:AR39)</f>
        <v>0</v>
      </c>
      <c r="AS40" s="324">
        <f>SUM(AS32:AS39)</f>
        <v>0</v>
      </c>
      <c r="AT40" s="324">
        <f>SUM(AT32:AT39)</f>
        <v>0</v>
      </c>
      <c r="AU40" s="324">
        <f>SUM(AU32:AU39)</f>
        <v>0</v>
      </c>
      <c r="AV40" s="116"/>
      <c r="AW40" s="208"/>
      <c r="AX40" s="208"/>
      <c r="AY40" s="208"/>
      <c r="AZ40" s="211"/>
    </row>
    <row r="41" ht="13.5" customHeight="1">
      <c r="A41" s="302"/>
      <c r="B41" s="303"/>
      <c r="C41" s="287"/>
      <c r="D41" s="325"/>
      <c r="E41" s="325"/>
      <c r="F41" s="326"/>
      <c r="G41" s="326"/>
      <c r="H41" s="325"/>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5"/>
      <c r="AN41" s="325"/>
      <c r="AO41" s="325"/>
      <c r="AP41" s="325"/>
      <c r="AQ41" s="325"/>
      <c r="AR41" s="325"/>
      <c r="AS41" s="325"/>
      <c r="AT41" s="325"/>
      <c r="AU41" s="325"/>
      <c r="AV41" s="116"/>
      <c r="AW41" s="208"/>
      <c r="AX41" s="208"/>
      <c r="AY41" s="208"/>
      <c r="AZ41" s="211"/>
    </row>
    <row r="42" ht="13.5" customHeight="1">
      <c r="A42" s="302"/>
      <c r="B42" s="303"/>
      <c r="C42" s="319"/>
      <c r="D42" t="s" s="320">
        <v>609</v>
      </c>
      <c r="E42" s="321"/>
      <c r="F42" s="322">
        <f>SUM(F40-F31)</f>
        <v>-467875</v>
      </c>
      <c r="G42" s="322"/>
      <c r="H42" s="323">
        <f>SUM(H40-H31)</f>
        <v>555125</v>
      </c>
      <c r="I42" s="324">
        <f>SUM(I40-I31)</f>
        <v>0</v>
      </c>
      <c r="J42" s="324">
        <f>SUM(J40-J31)</f>
        <v>-222500</v>
      </c>
      <c r="K42" s="324">
        <f>SUM(K40-K31)</f>
        <v>-140167</v>
      </c>
      <c r="L42" s="324">
        <f>SUM(L40-L31)</f>
        <v>14234</v>
      </c>
      <c r="M42" s="324">
        <f>SUM(M40-M31)</f>
        <v>-31022</v>
      </c>
      <c r="N42" s="324">
        <f>SUM(N40-N31)</f>
        <v>-91149</v>
      </c>
      <c r="O42" s="324">
        <f>SUM(O40-O31)</f>
        <v>-101277</v>
      </c>
      <c r="P42" s="324">
        <f>SUM(P40-P31)</f>
        <v>-101277</v>
      </c>
      <c r="Q42" s="324">
        <f>SUM(Q40-Q31)</f>
        <v>-101277</v>
      </c>
      <c r="R42" s="324">
        <f>SUM(R40-R31)</f>
        <v>-101277</v>
      </c>
      <c r="S42" s="324">
        <f>SUM(S40-S31)</f>
        <v>-91149</v>
      </c>
      <c r="T42" s="324">
        <f>SUM(T40-T31)</f>
        <v>-81022</v>
      </c>
      <c r="U42" s="324">
        <f>SUM(U40-U31)</f>
        <v>-1047883</v>
      </c>
      <c r="V42" s="324">
        <f>SUM(V40-V31)</f>
        <v>-70894</v>
      </c>
      <c r="W42" s="324">
        <f>SUM(W40-W31)</f>
        <v>-91149</v>
      </c>
      <c r="X42" s="324">
        <f>SUM(X40-X31)</f>
        <v>-47948.75</v>
      </c>
      <c r="Y42" s="324">
        <f>SUM(Y40-Y31)</f>
        <v>230000</v>
      </c>
      <c r="Z42" s="324">
        <f>SUM(Z40-Z31)</f>
        <v>560000</v>
      </c>
      <c r="AA42" s="324">
        <f>SUM(AA40-AA31)</f>
        <v>0</v>
      </c>
      <c r="AB42" s="324">
        <f>SUM(AB40-AB31)</f>
        <v>0</v>
      </c>
      <c r="AC42" s="324">
        <f>SUM(AC40-AC31)</f>
        <v>0</v>
      </c>
      <c r="AD42" s="324">
        <f>SUM(AD40-AD31)</f>
        <v>0</v>
      </c>
      <c r="AE42" s="324">
        <f>SUM(AE40-AE31)</f>
        <v>0</v>
      </c>
      <c r="AF42" s="324">
        <f>SUM(AF40-AF31)</f>
        <v>0</v>
      </c>
      <c r="AG42" s="324">
        <f>SUM(AG40-AG31)</f>
        <v>0</v>
      </c>
      <c r="AH42" s="324">
        <f>SUM(AH40-AH31)</f>
        <v>580008.25</v>
      </c>
      <c r="AI42" s="324">
        <f>SUM(AI40-AI31)</f>
        <v>0</v>
      </c>
      <c r="AJ42" s="324">
        <f>SUM(AJ40-AJ31)</f>
        <v>0</v>
      </c>
      <c r="AK42" s="324">
        <f>SUM(AK40-AK31)</f>
        <v>0</v>
      </c>
      <c r="AL42" s="324">
        <f>SUM(AL40-AL31)</f>
        <v>0</v>
      </c>
      <c r="AM42" s="324">
        <f>SUM(AM40-AM31)</f>
        <v>0</v>
      </c>
      <c r="AN42" s="324">
        <f>SUM(AN40-AN31)</f>
        <v>0</v>
      </c>
      <c r="AO42" s="324">
        <f>SUM(AO40-AO31)</f>
        <v>0</v>
      </c>
      <c r="AP42" s="324">
        <f>SUM(AP40-AP31)</f>
        <v>0</v>
      </c>
      <c r="AQ42" s="324">
        <f>SUM(AQ40-AQ31)</f>
        <v>0</v>
      </c>
      <c r="AR42" s="324">
        <f>SUM(AR40-AR31)</f>
        <v>0</v>
      </c>
      <c r="AS42" s="324">
        <f>SUM(AS40-AS31)</f>
        <v>0</v>
      </c>
      <c r="AT42" s="324">
        <f>SUM(AT40-AT31)</f>
        <v>0</v>
      </c>
      <c r="AU42" s="324">
        <f>SUM(AU40-AU31)</f>
        <v>0</v>
      </c>
      <c r="AV42" s="116"/>
      <c r="AW42" s="208"/>
      <c r="AX42" s="208"/>
      <c r="AY42" s="208"/>
      <c r="AZ42" s="211"/>
    </row>
    <row r="43" ht="13.5" customHeight="1">
      <c r="A43" s="302"/>
      <c r="B43" s="303"/>
      <c r="C43" s="287"/>
      <c r="D43" s="327"/>
      <c r="E43" s="327"/>
      <c r="F43" s="326"/>
      <c r="G43" s="326"/>
      <c r="H43" s="327"/>
      <c r="I43" s="327">
        <f>I42+H43</f>
        <v>0</v>
      </c>
      <c r="J43" s="327">
        <f>J42+I43</f>
        <v>-222500</v>
      </c>
      <c r="K43" s="327">
        <f>K42+J43</f>
        <v>-362667</v>
      </c>
      <c r="L43" s="327">
        <f>L42+K43</f>
        <v>-348433</v>
      </c>
      <c r="M43" s="327">
        <f>M42+L43</f>
        <v>-379455</v>
      </c>
      <c r="N43" s="327">
        <f>N42+M43</f>
        <v>-470604</v>
      </c>
      <c r="O43" s="327">
        <f>O42+N43</f>
        <v>-571881</v>
      </c>
      <c r="P43" s="327">
        <f>P42+O43</f>
        <v>-673158</v>
      </c>
      <c r="Q43" s="327">
        <f>Q42+P43</f>
        <v>-774435</v>
      </c>
      <c r="R43" s="327">
        <f>R42+Q43</f>
        <v>-875712</v>
      </c>
      <c r="S43" s="327">
        <f>S42+R43</f>
        <v>-966861</v>
      </c>
      <c r="T43" s="327">
        <f>T42+S43</f>
        <v>-1047883</v>
      </c>
      <c r="U43" s="327"/>
      <c r="V43" s="327">
        <f>V42+T43</f>
        <v>-1118777</v>
      </c>
      <c r="W43" s="327">
        <f>W42+V43</f>
        <v>-1209926</v>
      </c>
      <c r="X43" s="327">
        <f>X42+W43</f>
        <v>-1257874.75</v>
      </c>
      <c r="Y43" s="327">
        <f>Y42+X43</f>
        <v>-1027874.75</v>
      </c>
      <c r="Z43" s="327">
        <f>Z42+Y43</f>
        <v>-467874.75</v>
      </c>
      <c r="AA43" s="327">
        <f>AA42+Z43</f>
        <v>-467874.75</v>
      </c>
      <c r="AB43" s="327">
        <f>AB42+AA43</f>
        <v>-467874.75</v>
      </c>
      <c r="AC43" s="327">
        <f>AC42+AB43</f>
        <v>-467874.75</v>
      </c>
      <c r="AD43" s="327">
        <f>AD42+AC43</f>
        <v>-467874.75</v>
      </c>
      <c r="AE43" s="327">
        <f>AE42+AD43</f>
        <v>-467874.75</v>
      </c>
      <c r="AF43" s="327">
        <f>AF42+AE43</f>
        <v>-467874.75</v>
      </c>
      <c r="AG43" s="327">
        <f>AG42+AF43</f>
        <v>-467874.75</v>
      </c>
      <c r="AH43" s="327"/>
      <c r="AI43" s="327">
        <f>AI42+AG43</f>
        <v>-467874.75</v>
      </c>
      <c r="AJ43" s="327">
        <f>AJ42+AI43</f>
        <v>-467874.75</v>
      </c>
      <c r="AK43" s="327">
        <f>AK42+AJ43</f>
        <v>-467874.75</v>
      </c>
      <c r="AL43" s="327">
        <f>AL42+AK43</f>
        <v>-467874.75</v>
      </c>
      <c r="AM43" s="327">
        <f>AM42+AL43</f>
        <v>-467874.75</v>
      </c>
      <c r="AN43" s="327">
        <f>AN42+AM43</f>
        <v>-467874.75</v>
      </c>
      <c r="AO43" s="327">
        <f>AO42+AN43</f>
        <v>-467874.75</v>
      </c>
      <c r="AP43" s="327">
        <f>AP42+AO43</f>
        <v>-467874.75</v>
      </c>
      <c r="AQ43" s="327">
        <f>AQ42+AP43</f>
        <v>-467874.75</v>
      </c>
      <c r="AR43" s="327">
        <f>AR42+AQ43</f>
        <v>-467874.75</v>
      </c>
      <c r="AS43" s="327">
        <f>AS42+AR43</f>
        <v>-467874.75</v>
      </c>
      <c r="AT43" s="327">
        <f>AT42+AS43</f>
        <v>-467874.75</v>
      </c>
      <c r="AU43" s="327"/>
      <c r="AV43" s="116"/>
      <c r="AW43" s="208"/>
      <c r="AX43" s="208"/>
      <c r="AY43" s="208"/>
      <c r="AZ43" s="211"/>
    </row>
    <row r="44" ht="22.5" customHeight="1">
      <c r="A44" s="328"/>
      <c r="B44" s="329"/>
      <c r="C44" s="330"/>
      <c r="D44" t="s" s="331">
        <v>610</v>
      </c>
      <c r="E44" s="332"/>
      <c r="F44" s="333"/>
      <c r="G44" s="333"/>
      <c r="H44" s="334">
        <f>SUM(U44+AH44+AU44)</f>
        <v>-56389.325</v>
      </c>
      <c r="I44" s="335">
        <f>IF(I17&gt;'Project Information'!$C$28,0,IF(I43&gt;=0,0,I43*('Project Information'!$H$26/12)))</f>
        <v>0</v>
      </c>
      <c r="J44" s="335">
        <f>IF(J17&gt;'Project Information'!$C$28,0,IF(J43&gt;=0,0,J43*('Project Information'!$H$26/12)))</f>
        <v>-1390.625</v>
      </c>
      <c r="K44" s="335">
        <f>IF(K17&gt;'Project Information'!$C$28,0,IF(K43&gt;=0,0,K43*('Project Information'!$H$26/12)))</f>
        <v>-2266.66875</v>
      </c>
      <c r="L44" s="335">
        <f>IF(L17&gt;'Project Information'!$C$28,0,IF(L43&gt;=0,0,L43*('Project Information'!$H$26/12)))</f>
        <v>-2177.70625</v>
      </c>
      <c r="M44" s="335">
        <f>IF(M17&gt;'Project Information'!$C$28,0,IF(M43&gt;=0,0,M43*('Project Information'!$H$26/12)))</f>
        <v>-2371.59375</v>
      </c>
      <c r="N44" s="335">
        <f>IF(N17&gt;'Project Information'!$C$28,0,IF(N43&gt;=0,0,N43*('Project Information'!$H$26/12)))</f>
        <v>-2941.275</v>
      </c>
      <c r="O44" s="335">
        <f>IF(O17&gt;'Project Information'!$C$28,0,IF(O43&gt;=0,0,O43*('Project Information'!$H$26/12)))</f>
        <v>-3574.25625</v>
      </c>
      <c r="P44" s="335">
        <f>IF(P17&gt;'Project Information'!$C$28,0,IF(P43&gt;=0,0,P43*('Project Information'!$H$26/12)))</f>
        <v>-4207.237499999999</v>
      </c>
      <c r="Q44" s="335">
        <f>IF(Q17&gt;'Project Information'!$C$28,0,IF(Q43&gt;=0,0,Q43*('Project Information'!$H$26/12)))</f>
        <v>-4840.21875</v>
      </c>
      <c r="R44" s="335">
        <f>IF(R17&gt;'Project Information'!$C$28,0,IF(R43&gt;=0,0,R43*('Project Information'!$H$26/12)))</f>
        <v>-5473.2</v>
      </c>
      <c r="S44" s="335">
        <f>IF(S17&gt;'Project Information'!$C$28,0,IF(S43&gt;=0,0,S43*('Project Information'!$H$26/12)))</f>
        <v>-6042.881249999999</v>
      </c>
      <c r="T44" s="335">
        <f>IF(T17&gt;'Project Information'!$C$28,0,IF(T43&gt;=0,0,T43*('Project Information'!$H$26/12)))</f>
        <v>-6549.268749999999</v>
      </c>
      <c r="U44" s="336">
        <f>SUM(I44:T44)</f>
        <v>-41834.931249999994</v>
      </c>
      <c r="V44" s="335">
        <f>IF(V17&gt;'Project Information'!$C$28,0,IF(V43&gt;=0,0,V43*('Project Information'!$H$26/12)))</f>
        <v>-6992.35625</v>
      </c>
      <c r="W44" s="335">
        <f>IF(W17&gt;'Project Information'!$C$28,0,IF(W43&gt;=0,0,W43*('Project Information'!$H$26/12)))</f>
        <v>-7562.037499999999</v>
      </c>
      <c r="X44" s="335">
        <f>IF(X17&gt;'Project Information'!$C$28,0,IF(X43&gt;=0,0,X43*('Project Information'!$H$26/12)))</f>
        <v>0</v>
      </c>
      <c r="Y44" s="335">
        <f>IF(Y17&gt;'Project Information'!$C$28,0,IF(Y43&gt;=0,0,Y43*('Project Information'!$H$26/12)))</f>
        <v>0</v>
      </c>
      <c r="Z44" s="335">
        <f>IF(Z17&gt;'Project Information'!$C$28,0,IF(Z43&gt;=0,0,Z43*('Project Information'!$H$26/12)))</f>
        <v>0</v>
      </c>
      <c r="AA44" s="335">
        <f>IF(AA17&gt;'Project Information'!$C$28,0,IF(AA43&gt;=0,0,AA43*('Project Information'!$H$26/12)))</f>
        <v>0</v>
      </c>
      <c r="AB44" s="335">
        <f>IF(AB17&gt;'Project Information'!$C$28,0,IF(AB43&gt;=0,0,AB43*('Project Information'!$H$26/12)))</f>
        <v>0</v>
      </c>
      <c r="AC44" s="335">
        <f>IF(AC17&gt;'Project Information'!$C$28,0,IF(AC43&gt;=0,0,AC43*('Project Information'!$H$26/12)))</f>
        <v>0</v>
      </c>
      <c r="AD44" s="335">
        <f>IF(AD17&gt;'Project Information'!$C$28,0,IF(AD43&gt;=0,0,AD43*('Project Information'!$H$26/12)))</f>
        <v>0</v>
      </c>
      <c r="AE44" s="335">
        <f>IF(AE17&gt;'Project Information'!$C$28,0,IF(AE43&gt;=0,0,AE43*('Project Information'!$H$26/12)))</f>
        <v>0</v>
      </c>
      <c r="AF44" s="335">
        <f>IF(AF17&gt;'Project Information'!$C$28,0,IF(AF43&gt;=0,0,AF43*('Project Information'!$H$26/12)))</f>
        <v>0</v>
      </c>
      <c r="AG44" s="335">
        <f>IF(AG17&gt;'Project Information'!$C$28,0,IF(AG43&gt;=0,0,AG43*('Project Information'!$H$26/12)))</f>
        <v>0</v>
      </c>
      <c r="AH44" s="336">
        <f>SUM(V44:AG44)</f>
        <v>-14554.39375</v>
      </c>
      <c r="AI44" s="335">
        <f>IF(AI17&gt;'Project Information'!$C$28,0,IF(AI43&gt;=0,0,AI43*('Project Information'!$H$26/12)))</f>
        <v>0</v>
      </c>
      <c r="AJ44" s="335">
        <f>IF(AJ17&gt;'Project Information'!$C$28,0,IF(AJ43&gt;=0,0,AJ43*('Project Information'!$H$26/12)))</f>
        <v>0</v>
      </c>
      <c r="AK44" s="335">
        <f>IF(AK17&gt;'Project Information'!$C$28,0,IF(AK43&gt;=0,0,AK43*('Project Information'!$H$26/12)))</f>
        <v>0</v>
      </c>
      <c r="AL44" s="335">
        <f>IF(AL17&gt;'Project Information'!$C$28,0,IF(AL43&gt;=0,0,AL43*('Project Information'!$H$26/12)))</f>
        <v>0</v>
      </c>
      <c r="AM44" s="335">
        <f>IF(AM17&gt;'Project Information'!$C$28,0,IF(AM43&gt;=0,0,AM43*('Project Information'!$H$26/12)))</f>
        <v>0</v>
      </c>
      <c r="AN44" s="335">
        <f>IF(AN17&gt;'Project Information'!$C$28,0,IF(AN43&gt;=0,0,AN43*('Project Information'!$H$26/12)))</f>
        <v>0</v>
      </c>
      <c r="AO44" s="335">
        <f>IF(AO17&gt;'Project Information'!$C$28,0,IF(AO43&gt;=0,0,AO43*('Project Information'!$H$26/12)))</f>
        <v>0</v>
      </c>
      <c r="AP44" s="335">
        <f>IF(AP17&gt;'Project Information'!$C$28,0,IF(AP43&gt;=0,0,AP43*('Project Information'!$H$26/12)))</f>
        <v>0</v>
      </c>
      <c r="AQ44" s="335">
        <f>IF(AQ17&gt;'Project Information'!$C$28,0,IF(AQ43&gt;=0,0,AQ43*('Project Information'!$H$26/12)))</f>
        <v>0</v>
      </c>
      <c r="AR44" s="335">
        <f>IF(AR17&gt;'Project Information'!$C$28,0,IF(AR43&gt;=0,0,AR43*('Project Information'!$H$26/12)))</f>
        <v>0</v>
      </c>
      <c r="AS44" s="335">
        <f>IF(AS17&gt;'Project Information'!$C$28,0,IF(AS43&gt;=0,0,AS43*('Project Information'!$H$26/12)))</f>
        <v>0</v>
      </c>
      <c r="AT44" s="335">
        <f>IF(AT17&gt;'Project Information'!$C$28,0,IF(AT43&gt;=0,0,AT43*('Project Information'!$H$26/12)))</f>
        <v>0</v>
      </c>
      <c r="AU44" s="336">
        <f>SUM(AI44:AT44)</f>
        <v>0</v>
      </c>
      <c r="AV44" s="219"/>
      <c r="AW44" s="240"/>
      <c r="AX44" s="240"/>
      <c r="AY44" s="240"/>
      <c r="AZ44" s="337"/>
    </row>
    <row r="45" ht="39.75" customHeight="1">
      <c r="A45" s="328"/>
      <c r="B45" s="338"/>
      <c r="C45" s="339"/>
      <c r="D45" s="340"/>
      <c r="E45" s="340"/>
      <c r="F45" s="341"/>
      <c r="G45" s="341"/>
      <c r="H45" s="342"/>
      <c r="I45" s="343"/>
      <c r="J45" s="344"/>
      <c r="K45" s="344"/>
      <c r="L45" s="344"/>
      <c r="M45" s="344"/>
      <c r="N45" s="344"/>
      <c r="O45" s="344"/>
      <c r="P45" s="344"/>
      <c r="Q45" s="344"/>
      <c r="R45" s="344"/>
      <c r="S45" s="344"/>
      <c r="T45" s="344"/>
      <c r="U45" s="344"/>
      <c r="V45" s="345"/>
      <c r="W45" s="344"/>
      <c r="X45" s="344"/>
      <c r="Y45" s="344"/>
      <c r="Z45" s="344"/>
      <c r="AA45" s="344"/>
      <c r="AB45" s="344"/>
      <c r="AC45" s="344"/>
      <c r="AD45" s="344"/>
      <c r="AE45" s="344"/>
      <c r="AF45" s="344"/>
      <c r="AG45" s="344"/>
      <c r="AH45" s="344"/>
      <c r="AI45" s="345"/>
      <c r="AJ45" s="344"/>
      <c r="AK45" s="344"/>
      <c r="AL45" s="344"/>
      <c r="AM45" s="344"/>
      <c r="AN45" s="344"/>
      <c r="AO45" s="344"/>
      <c r="AP45" s="344"/>
      <c r="AQ45" s="344"/>
      <c r="AR45" s="344"/>
      <c r="AS45" s="344"/>
      <c r="AT45" s="344"/>
      <c r="AU45" s="344"/>
      <c r="AV45" s="346"/>
      <c r="AW45" s="240"/>
      <c r="AX45" s="240"/>
      <c r="AY45" s="240"/>
      <c r="AZ45" s="337"/>
    </row>
    <row r="46" ht="12.75" customHeight="1" hidden="1">
      <c r="A46" s="302"/>
      <c r="B46" s="238"/>
      <c r="C46" s="56"/>
      <c r="D46" s="113"/>
      <c r="E46" s="113"/>
      <c r="F46" s="347"/>
      <c r="G46" s="347"/>
      <c r="H46" s="347"/>
      <c r="I46" s="348"/>
      <c r="J46" s="348">
        <f>I17</f>
        <v>43941</v>
      </c>
      <c r="K46" s="348">
        <f>J17</f>
        <v>43971</v>
      </c>
      <c r="L46" s="348">
        <f>K17</f>
        <v>44002</v>
      </c>
      <c r="M46" s="348">
        <f>L17</f>
        <v>44032</v>
      </c>
      <c r="N46" s="348">
        <f>M17</f>
        <v>44063</v>
      </c>
      <c r="O46" s="348">
        <f>N17</f>
        <v>44094</v>
      </c>
      <c r="P46" s="348">
        <f>O17</f>
        <v>44124</v>
      </c>
      <c r="Q46" s="348">
        <f>P17</f>
        <v>44155</v>
      </c>
      <c r="R46" s="348">
        <f>Q17</f>
        <v>44185</v>
      </c>
      <c r="S46" s="348">
        <f>R17</f>
        <v>44217</v>
      </c>
      <c r="T46" s="348">
        <f>S17</f>
        <v>44228</v>
      </c>
      <c r="U46" s="348">
        <f>T17</f>
        <v>44256</v>
      </c>
      <c r="V46" s="349">
        <f>U17</f>
        <v>2021</v>
      </c>
      <c r="W46" s="348">
        <f>V17</f>
        <v>44307</v>
      </c>
      <c r="X46" s="348">
        <f>W17</f>
        <v>44337</v>
      </c>
      <c r="Y46" s="348">
        <f>X17</f>
        <v>44368</v>
      </c>
      <c r="Z46" s="348">
        <f>Y17</f>
        <v>44398</v>
      </c>
      <c r="AA46" s="348">
        <f>Z17</f>
        <v>44429</v>
      </c>
      <c r="AB46" s="348">
        <f>AA17</f>
        <v>44440</v>
      </c>
      <c r="AC46" s="348">
        <f>AB17</f>
        <v>44490</v>
      </c>
      <c r="AD46" s="348">
        <f>AC17</f>
        <v>44521</v>
      </c>
      <c r="AE46" s="348">
        <f>AD17</f>
        <v>44531</v>
      </c>
      <c r="AF46" s="348">
        <f>AE17</f>
        <v>44562</v>
      </c>
      <c r="AG46" s="348">
        <f>AF17</f>
        <v>44593</v>
      </c>
      <c r="AH46" s="348">
        <f>AG17</f>
        <v>44621</v>
      </c>
      <c r="AI46" s="349">
        <f>AH17</f>
        <v>2022</v>
      </c>
      <c r="AJ46" s="348">
        <f>AI17</f>
        <v>44666</v>
      </c>
      <c r="AK46" s="348">
        <f>AJ17</f>
        <v>44697</v>
      </c>
      <c r="AL46" s="348">
        <f>AK17</f>
        <v>44728</v>
      </c>
      <c r="AM46" s="348">
        <f>AL17</f>
        <v>44759</v>
      </c>
      <c r="AN46" s="348">
        <f>AM17</f>
        <v>44790</v>
      </c>
      <c r="AO46" s="348">
        <f>AN17</f>
        <v>44821</v>
      </c>
      <c r="AP46" s="348">
        <f>AO17</f>
        <v>44852</v>
      </c>
      <c r="AQ46" s="348">
        <f>AP17</f>
        <v>44883</v>
      </c>
      <c r="AR46" s="348">
        <f>AQ17</f>
        <v>44914</v>
      </c>
      <c r="AS46" s="348">
        <f>AR17</f>
        <v>44945</v>
      </c>
      <c r="AT46" s="348">
        <f>AS17</f>
        <v>44976</v>
      </c>
      <c r="AU46" s="348">
        <f>AT17</f>
        <v>45007</v>
      </c>
      <c r="AV46" s="347"/>
      <c r="AW46" s="56"/>
      <c r="AX46" s="56"/>
      <c r="AY46" s="208"/>
      <c r="AZ46" s="211"/>
    </row>
    <row r="47" ht="12.75" customHeight="1" hidden="1">
      <c r="A47" s="302"/>
      <c r="B47" s="350"/>
      <c r="C47" s="351"/>
      <c r="D47" s="352"/>
      <c r="E47" s="352"/>
      <c r="F47" s="56"/>
      <c r="G47" s="56"/>
      <c r="H47" s="353"/>
      <c r="I47" s="353"/>
      <c r="J47" s="229">
        <f>MONTH(J46)</f>
        <v>4</v>
      </c>
      <c r="K47" s="229">
        <f>MONTH(K46)</f>
        <v>5</v>
      </c>
      <c r="L47" s="229">
        <f>MONTH(L46)</f>
        <v>6</v>
      </c>
      <c r="M47" s="229">
        <f>MONTH(M46)</f>
        <v>7</v>
      </c>
      <c r="N47" s="229">
        <f>MONTH(N46)</f>
        <v>8</v>
      </c>
      <c r="O47" s="229">
        <f>MONTH(O46)</f>
        <v>9</v>
      </c>
      <c r="P47" s="229">
        <f>MONTH(P46)</f>
        <v>10</v>
      </c>
      <c r="Q47" s="229">
        <f>MONTH(Q46)</f>
        <v>11</v>
      </c>
      <c r="R47" s="229">
        <f>MONTH(R46)</f>
        <v>12</v>
      </c>
      <c r="S47" s="229">
        <f>MONTH(S46)</f>
        <v>1</v>
      </c>
      <c r="T47" s="229">
        <f>MONTH(T46)</f>
        <v>2</v>
      </c>
      <c r="U47" s="229">
        <f>MONTH(U46)</f>
        <v>3</v>
      </c>
      <c r="V47" s="229"/>
      <c r="W47" s="229">
        <f>MONTH(W46)</f>
        <v>4</v>
      </c>
      <c r="X47" s="229">
        <f>MONTH(X46)</f>
        <v>5</v>
      </c>
      <c r="Y47" s="229">
        <f>MONTH(Y46)</f>
        <v>6</v>
      </c>
      <c r="Z47" s="229">
        <f>MONTH(Z46)</f>
        <v>7</v>
      </c>
      <c r="AA47" s="229">
        <f>MONTH(AA46)</f>
        <v>8</v>
      </c>
      <c r="AB47" s="229">
        <f>MONTH(AB46)</f>
        <v>9</v>
      </c>
      <c r="AC47" s="229">
        <f>MONTH(AC46)</f>
        <v>10</v>
      </c>
      <c r="AD47" s="229">
        <f>MONTH(AD46)</f>
        <v>11</v>
      </c>
      <c r="AE47" s="229">
        <f>MONTH(AE46)</f>
        <v>12</v>
      </c>
      <c r="AF47" s="229">
        <f>MONTH(AF46)</f>
        <v>1</v>
      </c>
      <c r="AG47" s="229">
        <f>MONTH(AG46)</f>
        <v>2</v>
      </c>
      <c r="AH47" s="229">
        <f>MONTH(AH46)</f>
        <v>3</v>
      </c>
      <c r="AI47" s="229"/>
      <c r="AJ47" s="229">
        <f>MONTH(AJ46)</f>
        <v>4</v>
      </c>
      <c r="AK47" s="229">
        <f>MONTH(AK46)</f>
        <v>5</v>
      </c>
      <c r="AL47" s="229">
        <f>MONTH(AL46)</f>
        <v>6</v>
      </c>
      <c r="AM47" s="229">
        <f>MONTH(AM46)</f>
        <v>7</v>
      </c>
      <c r="AN47" s="229">
        <f>MONTH(AN46)</f>
        <v>8</v>
      </c>
      <c r="AO47" s="229">
        <f>MONTH(AO46)</f>
        <v>9</v>
      </c>
      <c r="AP47" s="229">
        <f>MONTH(AP46)</f>
        <v>10</v>
      </c>
      <c r="AQ47" s="229">
        <f>MONTH(AQ46)</f>
        <v>11</v>
      </c>
      <c r="AR47" s="229">
        <f>MONTH(AR46)</f>
        <v>12</v>
      </c>
      <c r="AS47" s="229">
        <f>MONTH(AS46)</f>
        <v>1</v>
      </c>
      <c r="AT47" s="229">
        <f>MONTH(AT46)</f>
        <v>2</v>
      </c>
      <c r="AU47" s="229">
        <f>MONTH(AU46)</f>
        <v>3</v>
      </c>
      <c r="AV47" s="353"/>
      <c r="AW47" s="56"/>
      <c r="AX47" s="56"/>
      <c r="AY47" s="208"/>
      <c r="AZ47" s="211"/>
    </row>
    <row r="48" ht="12.75" customHeight="1" hidden="1">
      <c r="A48" s="302"/>
      <c r="B48" s="354"/>
      <c r="C48" s="355"/>
      <c r="D48" s="113"/>
      <c r="E48" s="113"/>
      <c r="F48" s="113"/>
      <c r="G48" s="113"/>
      <c r="H48" s="113"/>
      <c r="I48" s="113"/>
      <c r="J48" s="356">
        <f>YEAR(J46)</f>
        <v>2020</v>
      </c>
      <c r="K48" s="356">
        <f>YEAR(K46)</f>
        <v>2020</v>
      </c>
      <c r="L48" s="356">
        <f>YEAR(L46)</f>
        <v>2020</v>
      </c>
      <c r="M48" s="356">
        <f>YEAR(M46)</f>
        <v>2020</v>
      </c>
      <c r="N48" s="356">
        <f>YEAR(N46)</f>
        <v>2020</v>
      </c>
      <c r="O48" s="356">
        <f>YEAR(O46)</f>
        <v>2020</v>
      </c>
      <c r="P48" s="356">
        <f>YEAR(P46)</f>
        <v>2020</v>
      </c>
      <c r="Q48" s="356">
        <f>YEAR(Q46)</f>
        <v>2020</v>
      </c>
      <c r="R48" s="356">
        <f>YEAR(R46)</f>
        <v>2020</v>
      </c>
      <c r="S48" s="356">
        <f>YEAR(S46)</f>
        <v>2021</v>
      </c>
      <c r="T48" s="356">
        <f>YEAR(T46)</f>
        <v>2021</v>
      </c>
      <c r="U48" s="356">
        <f>YEAR(U46)</f>
        <v>2021</v>
      </c>
      <c r="V48" s="356">
        <f>YEAR(V46)</f>
      </c>
      <c r="W48" s="356">
        <f>YEAR(W46)</f>
        <v>2021</v>
      </c>
      <c r="X48" s="356">
        <f>YEAR(X46)</f>
        <v>2021</v>
      </c>
      <c r="Y48" s="356">
        <f>YEAR(Y46)</f>
        <v>2021</v>
      </c>
      <c r="Z48" s="356">
        <f>YEAR(Z46)</f>
        <v>2021</v>
      </c>
      <c r="AA48" s="356">
        <f>YEAR(AA46)</f>
        <v>2021</v>
      </c>
      <c r="AB48" s="356">
        <f>YEAR(AB46)</f>
        <v>2021</v>
      </c>
      <c r="AC48" s="356">
        <f>YEAR(AC46)</f>
        <v>2021</v>
      </c>
      <c r="AD48" s="356">
        <f>YEAR(AD46)</f>
        <v>2021</v>
      </c>
      <c r="AE48" s="356">
        <f>YEAR(AE46)</f>
        <v>2021</v>
      </c>
      <c r="AF48" s="356">
        <f>YEAR(AF46)</f>
        <v>2022</v>
      </c>
      <c r="AG48" s="356">
        <f>YEAR(AG46)</f>
        <v>2022</v>
      </c>
      <c r="AH48" s="356">
        <f>YEAR(AH46)</f>
        <v>2022</v>
      </c>
      <c r="AI48" s="356">
        <f>YEAR(AI46)</f>
      </c>
      <c r="AJ48" s="356">
        <f>YEAR(AJ46)</f>
        <v>2022</v>
      </c>
      <c r="AK48" s="356">
        <f>YEAR(AK46)</f>
        <v>2022</v>
      </c>
      <c r="AL48" s="356">
        <f>YEAR(AL46)</f>
        <v>2022</v>
      </c>
      <c r="AM48" s="356">
        <f>YEAR(AM46)</f>
        <v>2022</v>
      </c>
      <c r="AN48" s="356">
        <f>YEAR(AN46)</f>
        <v>2022</v>
      </c>
      <c r="AO48" s="356">
        <f>YEAR(AO46)</f>
        <v>2022</v>
      </c>
      <c r="AP48" s="356">
        <f>YEAR(AP46)</f>
        <v>2022</v>
      </c>
      <c r="AQ48" s="356">
        <f>YEAR(AQ46)</f>
        <v>2022</v>
      </c>
      <c r="AR48" s="356">
        <f>YEAR(AR46)</f>
        <v>2022</v>
      </c>
      <c r="AS48" s="356">
        <f>YEAR(AS46)</f>
        <v>2023</v>
      </c>
      <c r="AT48" s="356">
        <f>YEAR(AT46)</f>
        <v>2023</v>
      </c>
      <c r="AU48" s="356">
        <f>YEAR(AU46)</f>
        <v>2023</v>
      </c>
      <c r="AV48" s="113"/>
      <c r="AW48" s="56"/>
      <c r="AX48" s="56"/>
      <c r="AY48" s="208"/>
      <c r="AZ48" s="211"/>
    </row>
    <row r="49" ht="12.75" customHeight="1" hidden="1">
      <c r="A49" s="302"/>
      <c r="B49" s="354"/>
      <c r="C49" s="35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56"/>
      <c r="AX49" s="56"/>
      <c r="AY49" s="208"/>
      <c r="AZ49" s="211"/>
    </row>
    <row r="50" ht="12.75" customHeight="1" hidden="1">
      <c r="A50" s="302"/>
      <c r="B50" s="354"/>
      <c r="C50" s="35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56"/>
      <c r="AX50" s="56"/>
      <c r="AY50" s="208"/>
      <c r="AZ50" s="211"/>
    </row>
    <row r="51" ht="12.75" customHeight="1" hidden="1">
      <c r="A51" s="302"/>
      <c r="B51" s="354"/>
      <c r="C51" s="35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56"/>
      <c r="AX51" s="56"/>
      <c r="AY51" s="208"/>
      <c r="AZ51" s="211"/>
    </row>
    <row r="52" ht="12.75" customHeight="1" hidden="1">
      <c r="A52" s="302"/>
      <c r="B52" s="357"/>
      <c r="C52" s="355"/>
      <c r="D52" s="358"/>
      <c r="E52" s="358"/>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c r="AI52" s="359"/>
      <c r="AJ52" s="359"/>
      <c r="AK52" s="359"/>
      <c r="AL52" s="359"/>
      <c r="AM52" s="359"/>
      <c r="AN52" s="359"/>
      <c r="AO52" s="359"/>
      <c r="AP52" s="359"/>
      <c r="AQ52" s="359"/>
      <c r="AR52" s="359"/>
      <c r="AS52" s="359"/>
      <c r="AT52" s="359"/>
      <c r="AU52" s="359"/>
      <c r="AV52" s="359"/>
      <c r="AW52" s="56"/>
      <c r="AX52" s="56"/>
      <c r="AY52" s="208"/>
      <c r="AZ52" s="211"/>
    </row>
    <row r="53" ht="12.75" customHeight="1" hidden="1">
      <c r="A53" s="302"/>
      <c r="B53" s="354"/>
      <c r="C53" s="355"/>
      <c r="D53" s="113"/>
      <c r="E53" s="113"/>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59"/>
      <c r="AE53" s="359"/>
      <c r="AF53" s="359"/>
      <c r="AG53" s="359"/>
      <c r="AH53" s="359"/>
      <c r="AI53" s="359"/>
      <c r="AJ53" s="359"/>
      <c r="AK53" s="359"/>
      <c r="AL53" s="359"/>
      <c r="AM53" s="359"/>
      <c r="AN53" s="359"/>
      <c r="AO53" s="359"/>
      <c r="AP53" s="359"/>
      <c r="AQ53" s="359"/>
      <c r="AR53" s="359"/>
      <c r="AS53" s="359"/>
      <c r="AT53" s="359"/>
      <c r="AU53" s="359"/>
      <c r="AV53" s="359"/>
      <c r="AW53" s="56"/>
      <c r="AX53" s="56"/>
      <c r="AY53" s="208"/>
      <c r="AZ53" s="211"/>
    </row>
    <row r="54" ht="12.75" customHeight="1" hidden="1">
      <c r="A54" s="302"/>
      <c r="B54" s="354"/>
      <c r="C54" s="355"/>
      <c r="D54" s="113"/>
      <c r="E54" s="113"/>
      <c r="F54" s="359"/>
      <c r="G54" s="359"/>
      <c r="H54" s="359"/>
      <c r="I54" s="359"/>
      <c r="J54" s="359"/>
      <c r="K54" s="359"/>
      <c r="L54" s="359"/>
      <c r="M54" s="359"/>
      <c r="N54" s="359"/>
      <c r="O54" s="359"/>
      <c r="P54" s="359"/>
      <c r="Q54" s="359"/>
      <c r="R54" s="359"/>
      <c r="S54" s="359"/>
      <c r="T54" s="359"/>
      <c r="U54" s="359"/>
      <c r="V54" s="359"/>
      <c r="W54" s="359"/>
      <c r="X54" s="359"/>
      <c r="Y54" s="359"/>
      <c r="Z54" s="359"/>
      <c r="AA54" s="359"/>
      <c r="AB54" s="359"/>
      <c r="AC54" s="359"/>
      <c r="AD54" s="359"/>
      <c r="AE54" s="359"/>
      <c r="AF54" s="359"/>
      <c r="AG54" s="359"/>
      <c r="AH54" s="359"/>
      <c r="AI54" s="359"/>
      <c r="AJ54" s="359"/>
      <c r="AK54" s="359"/>
      <c r="AL54" s="359"/>
      <c r="AM54" s="359"/>
      <c r="AN54" s="359"/>
      <c r="AO54" s="359"/>
      <c r="AP54" s="359"/>
      <c r="AQ54" s="359"/>
      <c r="AR54" s="359"/>
      <c r="AS54" s="359"/>
      <c r="AT54" s="359"/>
      <c r="AU54" s="359"/>
      <c r="AV54" s="359"/>
      <c r="AW54" s="56"/>
      <c r="AX54" s="56"/>
      <c r="AY54" s="208"/>
      <c r="AZ54" s="211"/>
    </row>
    <row r="55" ht="12.75" customHeight="1" hidden="1">
      <c r="A55" s="302"/>
      <c r="B55" s="354"/>
      <c r="C55" s="355"/>
      <c r="D55" s="113"/>
      <c r="E55" s="113"/>
      <c r="F55" s="359"/>
      <c r="G55" s="359"/>
      <c r="H55" s="359"/>
      <c r="I55" s="359"/>
      <c r="J55" s="359"/>
      <c r="K55" s="359"/>
      <c r="L55" s="359"/>
      <c r="M55" s="359"/>
      <c r="N55" s="359"/>
      <c r="O55" s="359"/>
      <c r="P55" s="359"/>
      <c r="Q55" s="359"/>
      <c r="R55" s="359"/>
      <c r="S55" s="359"/>
      <c r="T55" s="359"/>
      <c r="U55" s="359"/>
      <c r="V55" s="359"/>
      <c r="W55" s="359"/>
      <c r="X55" s="359"/>
      <c r="Y55" s="359"/>
      <c r="Z55" s="359"/>
      <c r="AA55" s="359"/>
      <c r="AB55" s="359"/>
      <c r="AC55" s="359"/>
      <c r="AD55" s="359"/>
      <c r="AE55" s="359"/>
      <c r="AF55" s="359"/>
      <c r="AG55" s="359"/>
      <c r="AH55" s="359"/>
      <c r="AI55" s="359"/>
      <c r="AJ55" s="359"/>
      <c r="AK55" s="359"/>
      <c r="AL55" s="359"/>
      <c r="AM55" s="359"/>
      <c r="AN55" s="359"/>
      <c r="AO55" s="359"/>
      <c r="AP55" s="359"/>
      <c r="AQ55" s="359"/>
      <c r="AR55" s="359"/>
      <c r="AS55" s="359"/>
      <c r="AT55" s="359"/>
      <c r="AU55" s="359"/>
      <c r="AV55" s="359"/>
      <c r="AW55" s="56"/>
      <c r="AX55" s="56"/>
      <c r="AY55" s="208"/>
      <c r="AZ55" s="211"/>
    </row>
    <row r="56" ht="12.75" customHeight="1" hidden="1">
      <c r="A56" s="302"/>
      <c r="B56" s="357"/>
      <c r="C56" s="355"/>
      <c r="D56" s="358"/>
      <c r="E56" s="358"/>
      <c r="F56" s="359"/>
      <c r="G56" s="359"/>
      <c r="H56" s="359"/>
      <c r="I56" s="359"/>
      <c r="J56" s="359"/>
      <c r="K56" s="359"/>
      <c r="L56" s="359"/>
      <c r="M56" s="359"/>
      <c r="N56" s="359"/>
      <c r="O56" s="359"/>
      <c r="P56" s="359"/>
      <c r="Q56" s="359"/>
      <c r="R56" s="359"/>
      <c r="S56" s="359"/>
      <c r="T56" s="359"/>
      <c r="U56" s="359"/>
      <c r="V56" s="359"/>
      <c r="W56" s="359"/>
      <c r="X56" s="359"/>
      <c r="Y56" s="359"/>
      <c r="Z56" s="359"/>
      <c r="AA56" s="359"/>
      <c r="AB56" s="359"/>
      <c r="AC56" s="359"/>
      <c r="AD56" s="359"/>
      <c r="AE56" s="359"/>
      <c r="AF56" s="359"/>
      <c r="AG56" s="359"/>
      <c r="AH56" s="359"/>
      <c r="AI56" s="359"/>
      <c r="AJ56" s="359"/>
      <c r="AK56" s="359"/>
      <c r="AL56" s="359"/>
      <c r="AM56" s="359"/>
      <c r="AN56" s="359"/>
      <c r="AO56" s="359"/>
      <c r="AP56" s="359"/>
      <c r="AQ56" s="359"/>
      <c r="AR56" s="359"/>
      <c r="AS56" s="359"/>
      <c r="AT56" s="359"/>
      <c r="AU56" s="359"/>
      <c r="AV56" s="359"/>
      <c r="AW56" s="56"/>
      <c r="AX56" s="56"/>
      <c r="AY56" s="208"/>
      <c r="AZ56" s="211"/>
    </row>
    <row r="57" ht="12.75" customHeight="1" hidden="1">
      <c r="A57" s="302"/>
      <c r="B57" s="354"/>
      <c r="C57" s="355"/>
      <c r="D57" s="113"/>
      <c r="E57" s="113"/>
      <c r="F57" s="359"/>
      <c r="G57" s="359"/>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c r="AI57" s="359"/>
      <c r="AJ57" s="359"/>
      <c r="AK57" s="359"/>
      <c r="AL57" s="359"/>
      <c r="AM57" s="359"/>
      <c r="AN57" s="359"/>
      <c r="AO57" s="359"/>
      <c r="AP57" s="359"/>
      <c r="AQ57" s="359"/>
      <c r="AR57" s="359"/>
      <c r="AS57" s="359"/>
      <c r="AT57" s="359"/>
      <c r="AU57" s="359"/>
      <c r="AV57" s="359"/>
      <c r="AW57" s="56"/>
      <c r="AX57" s="56"/>
      <c r="AY57" s="208"/>
      <c r="AZ57" s="211"/>
    </row>
    <row r="58" ht="12.75" customHeight="1" hidden="1">
      <c r="A58" s="302"/>
      <c r="B58" s="350"/>
      <c r="C58" s="351"/>
      <c r="D58" s="352"/>
      <c r="E58" s="352"/>
      <c r="F58" s="359"/>
      <c r="G58" s="359"/>
      <c r="H58" s="359"/>
      <c r="I58" s="359"/>
      <c r="J58" s="359"/>
      <c r="K58" s="359"/>
      <c r="L58" s="359"/>
      <c r="M58" s="359"/>
      <c r="N58" s="359"/>
      <c r="O58" s="359"/>
      <c r="P58" s="359"/>
      <c r="Q58" s="359"/>
      <c r="R58" s="359"/>
      <c r="S58" s="359"/>
      <c r="T58" s="359"/>
      <c r="U58" s="359"/>
      <c r="V58" s="359"/>
      <c r="W58" s="359"/>
      <c r="X58" s="359"/>
      <c r="Y58" s="359"/>
      <c r="Z58" s="359"/>
      <c r="AA58" s="359"/>
      <c r="AB58" s="359"/>
      <c r="AC58" s="359"/>
      <c r="AD58" s="359"/>
      <c r="AE58" s="359"/>
      <c r="AF58" s="359"/>
      <c r="AG58" s="359"/>
      <c r="AH58" s="359"/>
      <c r="AI58" s="359"/>
      <c r="AJ58" s="359"/>
      <c r="AK58" s="359"/>
      <c r="AL58" s="359"/>
      <c r="AM58" s="359"/>
      <c r="AN58" s="359"/>
      <c r="AO58" s="359"/>
      <c r="AP58" s="359"/>
      <c r="AQ58" s="359"/>
      <c r="AR58" s="359"/>
      <c r="AS58" s="359"/>
      <c r="AT58" s="359"/>
      <c r="AU58" s="359"/>
      <c r="AV58" s="359"/>
      <c r="AW58" s="56"/>
      <c r="AX58" s="56"/>
      <c r="AY58" s="208"/>
      <c r="AZ58" s="211"/>
    </row>
    <row r="59" ht="12.75" customHeight="1" hidden="1">
      <c r="A59" s="302"/>
      <c r="B59" s="354"/>
      <c r="C59" s="355"/>
      <c r="D59" s="113"/>
      <c r="E59" s="113"/>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c r="AL59" s="359"/>
      <c r="AM59" s="359"/>
      <c r="AN59" s="359"/>
      <c r="AO59" s="359"/>
      <c r="AP59" s="359"/>
      <c r="AQ59" s="359"/>
      <c r="AR59" s="359"/>
      <c r="AS59" s="359"/>
      <c r="AT59" s="359"/>
      <c r="AU59" s="359"/>
      <c r="AV59" s="359"/>
      <c r="AW59" s="56"/>
      <c r="AX59" s="56"/>
      <c r="AY59" s="208"/>
      <c r="AZ59" s="211"/>
    </row>
    <row r="60" ht="12.75" customHeight="1" hidden="1">
      <c r="A60" s="302"/>
      <c r="B60" s="354"/>
      <c r="C60" s="355"/>
      <c r="D60" s="113"/>
      <c r="E60" s="113"/>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c r="AJ60" s="359"/>
      <c r="AK60" s="359"/>
      <c r="AL60" s="359"/>
      <c r="AM60" s="359"/>
      <c r="AN60" s="359"/>
      <c r="AO60" s="359"/>
      <c r="AP60" s="359"/>
      <c r="AQ60" s="359"/>
      <c r="AR60" s="359"/>
      <c r="AS60" s="359"/>
      <c r="AT60" s="359"/>
      <c r="AU60" s="359"/>
      <c r="AV60" s="359"/>
      <c r="AW60" s="56"/>
      <c r="AX60" s="56"/>
      <c r="AY60" s="208"/>
      <c r="AZ60" s="211"/>
    </row>
    <row r="61" ht="12.75" customHeight="1" hidden="1">
      <c r="A61" s="302"/>
      <c r="B61" s="357"/>
      <c r="C61" s="355"/>
      <c r="D61" s="358"/>
      <c r="E61" s="358"/>
      <c r="F61" s="359"/>
      <c r="G61" s="359"/>
      <c r="H61" s="359"/>
      <c r="I61" s="359"/>
      <c r="J61" s="359"/>
      <c r="K61" s="359"/>
      <c r="L61" s="359"/>
      <c r="M61" s="359"/>
      <c r="N61" s="359"/>
      <c r="O61" s="359"/>
      <c r="P61" s="359"/>
      <c r="Q61" s="359"/>
      <c r="R61" s="359"/>
      <c r="S61" s="359"/>
      <c r="T61" s="359"/>
      <c r="U61" s="359"/>
      <c r="V61" s="359"/>
      <c r="W61" s="359"/>
      <c r="X61" s="359"/>
      <c r="Y61" s="359"/>
      <c r="Z61" s="359"/>
      <c r="AA61" s="359"/>
      <c r="AB61" s="359"/>
      <c r="AC61" s="359"/>
      <c r="AD61" s="359"/>
      <c r="AE61" s="359"/>
      <c r="AF61" s="359"/>
      <c r="AG61" s="359"/>
      <c r="AH61" s="359"/>
      <c r="AI61" s="359"/>
      <c r="AJ61" s="359"/>
      <c r="AK61" s="359"/>
      <c r="AL61" s="359"/>
      <c r="AM61" s="359"/>
      <c r="AN61" s="359"/>
      <c r="AO61" s="359"/>
      <c r="AP61" s="359"/>
      <c r="AQ61" s="359"/>
      <c r="AR61" s="359"/>
      <c r="AS61" s="359"/>
      <c r="AT61" s="359"/>
      <c r="AU61" s="359"/>
      <c r="AV61" s="359"/>
      <c r="AW61" s="56"/>
      <c r="AX61" s="56"/>
      <c r="AY61" s="208"/>
      <c r="AZ61" s="211"/>
    </row>
    <row r="62" ht="12.75" customHeight="1" hidden="1">
      <c r="A62" s="302"/>
      <c r="B62" s="354"/>
      <c r="C62" s="355"/>
      <c r="D62" s="113"/>
      <c r="E62" s="113"/>
      <c r="F62" s="359"/>
      <c r="G62" s="359"/>
      <c r="H62" s="359"/>
      <c r="I62" s="359"/>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59"/>
      <c r="AJ62" s="359"/>
      <c r="AK62" s="359"/>
      <c r="AL62" s="359"/>
      <c r="AM62" s="359"/>
      <c r="AN62" s="359"/>
      <c r="AO62" s="359"/>
      <c r="AP62" s="359"/>
      <c r="AQ62" s="359"/>
      <c r="AR62" s="359"/>
      <c r="AS62" s="359"/>
      <c r="AT62" s="359"/>
      <c r="AU62" s="359"/>
      <c r="AV62" s="359"/>
      <c r="AW62" s="56"/>
      <c r="AX62" s="56"/>
      <c r="AY62" s="208"/>
      <c r="AZ62" s="211"/>
    </row>
    <row r="63" ht="12.75" customHeight="1" hidden="1">
      <c r="A63" s="302"/>
      <c r="B63" s="360"/>
      <c r="C63" s="355"/>
      <c r="D63" s="361"/>
      <c r="E63" s="361"/>
      <c r="F63" s="359"/>
      <c r="G63" s="359"/>
      <c r="H63" s="359"/>
      <c r="I63" s="359"/>
      <c r="J63" s="359"/>
      <c r="K63" s="359"/>
      <c r="L63" s="359"/>
      <c r="M63" s="359"/>
      <c r="N63" s="359"/>
      <c r="O63" s="359"/>
      <c r="P63" s="359"/>
      <c r="Q63" s="359"/>
      <c r="R63" s="359"/>
      <c r="S63" s="359"/>
      <c r="T63" s="359"/>
      <c r="U63" s="359"/>
      <c r="V63" s="359"/>
      <c r="W63" s="359"/>
      <c r="X63" s="359"/>
      <c r="Y63" s="359"/>
      <c r="Z63" s="359"/>
      <c r="AA63" s="359"/>
      <c r="AB63" s="359"/>
      <c r="AC63" s="359"/>
      <c r="AD63" s="359"/>
      <c r="AE63" s="359"/>
      <c r="AF63" s="359"/>
      <c r="AG63" s="359"/>
      <c r="AH63" s="359"/>
      <c r="AI63" s="359"/>
      <c r="AJ63" s="359"/>
      <c r="AK63" s="359"/>
      <c r="AL63" s="359"/>
      <c r="AM63" s="359"/>
      <c r="AN63" s="359"/>
      <c r="AO63" s="359"/>
      <c r="AP63" s="359"/>
      <c r="AQ63" s="359"/>
      <c r="AR63" s="359"/>
      <c r="AS63" s="359"/>
      <c r="AT63" s="359"/>
      <c r="AU63" s="359"/>
      <c r="AV63" s="359"/>
      <c r="AW63" s="56"/>
      <c r="AX63" s="56"/>
      <c r="AY63" s="208"/>
      <c r="AZ63" s="211"/>
    </row>
    <row r="64" ht="12.75" customHeight="1" hidden="1">
      <c r="A64" s="302"/>
      <c r="B64" s="354"/>
      <c r="C64" s="355"/>
      <c r="D64" s="113"/>
      <c r="E64" s="113"/>
      <c r="F64" s="359"/>
      <c r="G64" s="359"/>
      <c r="H64" s="359"/>
      <c r="I64" s="359"/>
      <c r="J64" s="359"/>
      <c r="K64" s="359"/>
      <c r="L64" s="359"/>
      <c r="M64" s="359"/>
      <c r="N64" s="359"/>
      <c r="O64" s="359"/>
      <c r="P64" s="359"/>
      <c r="Q64" s="359"/>
      <c r="R64" s="359"/>
      <c r="S64" s="359"/>
      <c r="T64" s="359"/>
      <c r="U64" s="359"/>
      <c r="V64" s="359"/>
      <c r="W64" s="359"/>
      <c r="X64" s="359"/>
      <c r="Y64" s="359"/>
      <c r="Z64" s="359"/>
      <c r="AA64" s="359"/>
      <c r="AB64" s="359"/>
      <c r="AC64" s="359"/>
      <c r="AD64" s="359"/>
      <c r="AE64" s="359"/>
      <c r="AF64" s="359"/>
      <c r="AG64" s="359"/>
      <c r="AH64" s="359"/>
      <c r="AI64" s="359"/>
      <c r="AJ64" s="359"/>
      <c r="AK64" s="359"/>
      <c r="AL64" s="359"/>
      <c r="AM64" s="359"/>
      <c r="AN64" s="359"/>
      <c r="AO64" s="359"/>
      <c r="AP64" s="359"/>
      <c r="AQ64" s="359"/>
      <c r="AR64" s="359"/>
      <c r="AS64" s="359"/>
      <c r="AT64" s="359"/>
      <c r="AU64" s="359"/>
      <c r="AV64" s="359"/>
      <c r="AW64" s="56"/>
      <c r="AX64" s="56"/>
      <c r="AY64" s="208"/>
      <c r="AZ64" s="211"/>
    </row>
    <row r="65" ht="12.75" customHeight="1" hidden="1">
      <c r="A65" s="302"/>
      <c r="B65" s="350"/>
      <c r="C65" s="351"/>
      <c r="D65" s="352"/>
      <c r="E65" s="352"/>
      <c r="F65" s="359"/>
      <c r="G65" s="359"/>
      <c r="H65" s="359"/>
      <c r="I65" s="359"/>
      <c r="J65" s="359"/>
      <c r="K65" s="359"/>
      <c r="L65" s="359"/>
      <c r="M65" s="359"/>
      <c r="N65" s="359"/>
      <c r="O65" s="359"/>
      <c r="P65" s="359"/>
      <c r="Q65" s="359"/>
      <c r="R65" s="359"/>
      <c r="S65" s="359"/>
      <c r="T65" s="359"/>
      <c r="U65" s="359"/>
      <c r="V65" s="359"/>
      <c r="W65" s="359"/>
      <c r="X65" s="359"/>
      <c r="Y65" s="359"/>
      <c r="Z65" s="359"/>
      <c r="AA65" s="359"/>
      <c r="AB65" s="359"/>
      <c r="AC65" s="359"/>
      <c r="AD65" s="359"/>
      <c r="AE65" s="359"/>
      <c r="AF65" s="359"/>
      <c r="AG65" s="359"/>
      <c r="AH65" s="359"/>
      <c r="AI65" s="359"/>
      <c r="AJ65" s="359"/>
      <c r="AK65" s="359"/>
      <c r="AL65" s="359"/>
      <c r="AM65" s="359"/>
      <c r="AN65" s="359"/>
      <c r="AO65" s="359"/>
      <c r="AP65" s="359"/>
      <c r="AQ65" s="359"/>
      <c r="AR65" s="359"/>
      <c r="AS65" s="359"/>
      <c r="AT65" s="359"/>
      <c r="AU65" s="359"/>
      <c r="AV65" s="359"/>
      <c r="AW65" s="56"/>
      <c r="AX65" s="56"/>
      <c r="AY65" s="208"/>
      <c r="AZ65" s="211"/>
    </row>
    <row r="66" ht="12.75" customHeight="1" hidden="1">
      <c r="A66" s="302"/>
      <c r="B66" s="354"/>
      <c r="C66" s="355"/>
      <c r="D66" s="113"/>
      <c r="E66" s="113"/>
      <c r="F66" s="359"/>
      <c r="G66" s="359"/>
      <c r="H66" s="359"/>
      <c r="I66" s="359"/>
      <c r="J66" s="359"/>
      <c r="K66" s="359"/>
      <c r="L66" s="359"/>
      <c r="M66" s="359"/>
      <c r="N66" s="359"/>
      <c r="O66" s="359"/>
      <c r="P66" s="359"/>
      <c r="Q66" s="359"/>
      <c r="R66" s="359"/>
      <c r="S66" s="359"/>
      <c r="T66" s="359"/>
      <c r="U66" s="359"/>
      <c r="V66" s="359"/>
      <c r="W66" s="359"/>
      <c r="X66" s="359"/>
      <c r="Y66" s="359"/>
      <c r="Z66" s="359"/>
      <c r="AA66" s="359"/>
      <c r="AB66" s="359"/>
      <c r="AC66" s="359"/>
      <c r="AD66" s="359"/>
      <c r="AE66" s="359"/>
      <c r="AF66" s="359"/>
      <c r="AG66" s="359"/>
      <c r="AH66" s="359"/>
      <c r="AI66" s="359"/>
      <c r="AJ66" s="359"/>
      <c r="AK66" s="359"/>
      <c r="AL66" s="359"/>
      <c r="AM66" s="359"/>
      <c r="AN66" s="359"/>
      <c r="AO66" s="359"/>
      <c r="AP66" s="359"/>
      <c r="AQ66" s="359"/>
      <c r="AR66" s="359"/>
      <c r="AS66" s="359"/>
      <c r="AT66" s="359"/>
      <c r="AU66" s="359"/>
      <c r="AV66" s="359"/>
      <c r="AW66" s="56"/>
      <c r="AX66" s="56"/>
      <c r="AY66" s="208"/>
      <c r="AZ66" s="211"/>
    </row>
    <row r="67" ht="12.75" customHeight="1" hidden="1">
      <c r="A67" s="302"/>
      <c r="B67" s="354"/>
      <c r="C67" s="355"/>
      <c r="D67" s="113"/>
      <c r="E67" s="113"/>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E67" s="359"/>
      <c r="AF67" s="359"/>
      <c r="AG67" s="359"/>
      <c r="AH67" s="359"/>
      <c r="AI67" s="359"/>
      <c r="AJ67" s="359"/>
      <c r="AK67" s="359"/>
      <c r="AL67" s="359"/>
      <c r="AM67" s="359"/>
      <c r="AN67" s="359"/>
      <c r="AO67" s="359"/>
      <c r="AP67" s="359"/>
      <c r="AQ67" s="359"/>
      <c r="AR67" s="359"/>
      <c r="AS67" s="359"/>
      <c r="AT67" s="359"/>
      <c r="AU67" s="359"/>
      <c r="AV67" s="359"/>
      <c r="AW67" s="56"/>
      <c r="AX67" s="56"/>
      <c r="AY67" s="208"/>
      <c r="AZ67" s="211"/>
    </row>
    <row r="68" ht="12.75" customHeight="1" hidden="1">
      <c r="A68" s="302"/>
      <c r="B68" s="354"/>
      <c r="C68" s="355"/>
      <c r="D68" s="113"/>
      <c r="E68" s="113"/>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c r="AF68" s="359"/>
      <c r="AG68" s="359"/>
      <c r="AH68" s="359"/>
      <c r="AI68" s="359"/>
      <c r="AJ68" s="359"/>
      <c r="AK68" s="359"/>
      <c r="AL68" s="359"/>
      <c r="AM68" s="359"/>
      <c r="AN68" s="359"/>
      <c r="AO68" s="359"/>
      <c r="AP68" s="359"/>
      <c r="AQ68" s="359"/>
      <c r="AR68" s="359"/>
      <c r="AS68" s="359"/>
      <c r="AT68" s="359"/>
      <c r="AU68" s="359"/>
      <c r="AV68" s="359"/>
      <c r="AW68" s="56"/>
      <c r="AX68" s="56"/>
      <c r="AY68" s="208"/>
      <c r="AZ68" s="211"/>
    </row>
    <row r="69" ht="12.75" customHeight="1" hidden="1">
      <c r="A69" s="302"/>
      <c r="B69" s="360"/>
      <c r="C69" s="355"/>
      <c r="D69" s="361"/>
      <c r="E69" s="361"/>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9"/>
      <c r="AJ69" s="359"/>
      <c r="AK69" s="359"/>
      <c r="AL69" s="359"/>
      <c r="AM69" s="359"/>
      <c r="AN69" s="359"/>
      <c r="AO69" s="359"/>
      <c r="AP69" s="359"/>
      <c r="AQ69" s="359"/>
      <c r="AR69" s="359"/>
      <c r="AS69" s="359"/>
      <c r="AT69" s="359"/>
      <c r="AU69" s="359"/>
      <c r="AV69" s="359"/>
      <c r="AW69" s="56"/>
      <c r="AX69" s="56"/>
      <c r="AY69" s="208"/>
      <c r="AZ69" s="211"/>
    </row>
    <row r="70" ht="12.75" customHeight="1" hidden="1">
      <c r="A70" s="302"/>
      <c r="B70" s="354"/>
      <c r="C70" s="355"/>
      <c r="D70" s="113"/>
      <c r="E70" s="113"/>
      <c r="F70" s="359"/>
      <c r="G70" s="359"/>
      <c r="H70" s="359"/>
      <c r="I70" s="359"/>
      <c r="J70" s="359"/>
      <c r="K70" s="359"/>
      <c r="L70" s="359"/>
      <c r="M70" s="359"/>
      <c r="N70" s="359"/>
      <c r="O70" s="359"/>
      <c r="P70" s="359"/>
      <c r="Q70" s="359"/>
      <c r="R70" s="359"/>
      <c r="S70" s="359"/>
      <c r="T70" s="359"/>
      <c r="U70" s="359"/>
      <c r="V70" s="359"/>
      <c r="W70" s="359"/>
      <c r="X70" s="359"/>
      <c r="Y70" s="359"/>
      <c r="Z70" s="359"/>
      <c r="AA70" s="359"/>
      <c r="AB70" s="359"/>
      <c r="AC70" s="359"/>
      <c r="AD70" s="359"/>
      <c r="AE70" s="359"/>
      <c r="AF70" s="359"/>
      <c r="AG70" s="359"/>
      <c r="AH70" s="359"/>
      <c r="AI70" s="359"/>
      <c r="AJ70" s="359"/>
      <c r="AK70" s="359"/>
      <c r="AL70" s="359"/>
      <c r="AM70" s="359"/>
      <c r="AN70" s="359"/>
      <c r="AO70" s="359"/>
      <c r="AP70" s="359"/>
      <c r="AQ70" s="359"/>
      <c r="AR70" s="359"/>
      <c r="AS70" s="359"/>
      <c r="AT70" s="359"/>
      <c r="AU70" s="359"/>
      <c r="AV70" s="359"/>
      <c r="AW70" s="56"/>
      <c r="AX70" s="56"/>
      <c r="AY70" s="208"/>
      <c r="AZ70" s="211"/>
    </row>
    <row r="71" ht="12.75" customHeight="1" hidden="1">
      <c r="A71" s="302"/>
      <c r="B71" s="238"/>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56"/>
      <c r="AX71" s="56"/>
      <c r="AY71" s="208"/>
      <c r="AZ71" s="211"/>
    </row>
    <row r="72" ht="12.75" customHeight="1" hidden="1">
      <c r="A72" s="302"/>
      <c r="B72" s="238"/>
      <c r="C72" s="352"/>
      <c r="D72" s="352"/>
      <c r="E72" s="352"/>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56"/>
      <c r="AX72" s="56"/>
      <c r="AY72" s="208"/>
      <c r="AZ72" s="211"/>
    </row>
    <row r="73" ht="12.75" customHeight="1" hidden="1">
      <c r="A73" s="302"/>
      <c r="B73" s="238"/>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56"/>
      <c r="AX73" s="56"/>
      <c r="AY73" s="208"/>
      <c r="AZ73" s="211"/>
    </row>
    <row r="74" ht="12.75" customHeight="1" hidden="1">
      <c r="A74" s="302"/>
      <c r="B74" s="238"/>
      <c r="C74" s="113"/>
      <c r="D74" s="113"/>
      <c r="E74" s="113"/>
      <c r="F74" s="355"/>
      <c r="G74" s="355"/>
      <c r="H74" s="355"/>
      <c r="I74" s="355"/>
      <c r="J74" s="355"/>
      <c r="K74" s="355"/>
      <c r="L74" s="355"/>
      <c r="M74" s="355"/>
      <c r="N74" s="355"/>
      <c r="O74" s="355"/>
      <c r="P74" s="355"/>
      <c r="Q74" s="355"/>
      <c r="R74" s="355"/>
      <c r="S74" s="355"/>
      <c r="T74" s="355"/>
      <c r="U74" s="355"/>
      <c r="V74" s="355"/>
      <c r="W74" s="355"/>
      <c r="X74" s="355"/>
      <c r="Y74" s="355"/>
      <c r="Z74" s="355"/>
      <c r="AA74" s="355"/>
      <c r="AB74" s="355"/>
      <c r="AC74" s="355"/>
      <c r="AD74" s="355"/>
      <c r="AE74" s="355"/>
      <c r="AF74" s="355"/>
      <c r="AG74" s="355"/>
      <c r="AH74" s="355"/>
      <c r="AI74" s="355"/>
      <c r="AJ74" s="355"/>
      <c r="AK74" s="355"/>
      <c r="AL74" s="355"/>
      <c r="AM74" s="355"/>
      <c r="AN74" s="355"/>
      <c r="AO74" s="355"/>
      <c r="AP74" s="355"/>
      <c r="AQ74" s="355"/>
      <c r="AR74" s="355"/>
      <c r="AS74" s="355"/>
      <c r="AT74" s="355"/>
      <c r="AU74" s="355"/>
      <c r="AV74" s="355"/>
      <c r="AW74" s="56"/>
      <c r="AX74" s="56"/>
      <c r="AY74" s="208"/>
      <c r="AZ74" s="211"/>
    </row>
    <row r="75" ht="12.75" customHeight="1" hidden="1">
      <c r="A75" s="302"/>
      <c r="B75" s="238"/>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56"/>
      <c r="AX75" s="56"/>
      <c r="AY75" s="208"/>
      <c r="AZ75" s="211"/>
    </row>
    <row r="76" ht="12.75" customHeight="1" hidden="1">
      <c r="A76" s="302"/>
      <c r="B76" s="238"/>
      <c r="C76" s="113"/>
      <c r="D76" s="113"/>
      <c r="E76" s="113"/>
      <c r="F76" s="355"/>
      <c r="G76" s="355"/>
      <c r="H76" s="355"/>
      <c r="I76" s="355"/>
      <c r="J76" s="355"/>
      <c r="K76" s="355"/>
      <c r="L76" s="355"/>
      <c r="M76" s="355"/>
      <c r="N76" s="355"/>
      <c r="O76" s="355"/>
      <c r="P76" s="355"/>
      <c r="Q76" s="355"/>
      <c r="R76" s="355"/>
      <c r="S76" s="355"/>
      <c r="T76" s="355"/>
      <c r="U76" s="355"/>
      <c r="V76" s="355"/>
      <c r="W76" s="355"/>
      <c r="X76" s="355"/>
      <c r="Y76" s="355"/>
      <c r="Z76" s="355"/>
      <c r="AA76" s="355"/>
      <c r="AB76" s="355"/>
      <c r="AC76" s="355"/>
      <c r="AD76" s="355"/>
      <c r="AE76" s="355"/>
      <c r="AF76" s="355"/>
      <c r="AG76" s="355"/>
      <c r="AH76" s="355"/>
      <c r="AI76" s="355"/>
      <c r="AJ76" s="355"/>
      <c r="AK76" s="355"/>
      <c r="AL76" s="355"/>
      <c r="AM76" s="355"/>
      <c r="AN76" s="355"/>
      <c r="AO76" s="355"/>
      <c r="AP76" s="355"/>
      <c r="AQ76" s="355"/>
      <c r="AR76" s="355"/>
      <c r="AS76" s="355"/>
      <c r="AT76" s="355"/>
      <c r="AU76" s="355"/>
      <c r="AV76" s="355"/>
      <c r="AW76" s="56"/>
      <c r="AX76" s="56"/>
      <c r="AY76" s="208"/>
      <c r="AZ76" s="211"/>
    </row>
    <row r="77" ht="12.75" customHeight="1" hidden="1">
      <c r="A77" s="302"/>
      <c r="B77" s="238"/>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56"/>
      <c r="AX77" s="56"/>
      <c r="AY77" s="208"/>
      <c r="AZ77" s="211"/>
    </row>
    <row r="78" ht="12.75" customHeight="1" hidden="1">
      <c r="A78" s="302"/>
      <c r="B78" s="238"/>
      <c r="C78" s="56"/>
      <c r="D78" s="56"/>
      <c r="E78" s="56"/>
      <c r="F78" s="56"/>
      <c r="G78" s="56"/>
      <c r="H78" s="56"/>
      <c r="I78" s="56"/>
      <c r="J78" s="256"/>
      <c r="K78" s="256"/>
      <c r="L78" s="256"/>
      <c r="M78" s="256"/>
      <c r="N78" s="256"/>
      <c r="O78" s="256"/>
      <c r="P78" s="256"/>
      <c r="Q78" s="256"/>
      <c r="R78" s="256"/>
      <c r="S78" s="208"/>
      <c r="T78" s="256"/>
      <c r="U78" s="256"/>
      <c r="V78" s="237"/>
      <c r="W78" s="256"/>
      <c r="X78" s="256"/>
      <c r="Y78" s="256"/>
      <c r="Z78" s="256"/>
      <c r="AA78" s="256"/>
      <c r="AB78" s="256"/>
      <c r="AC78" s="256"/>
      <c r="AD78" s="256"/>
      <c r="AE78" s="256"/>
      <c r="AF78" s="256"/>
      <c r="AG78" s="256"/>
      <c r="AH78" s="256"/>
      <c r="AI78" s="237"/>
      <c r="AJ78" s="56"/>
      <c r="AK78" s="56"/>
      <c r="AL78" s="56"/>
      <c r="AM78" s="56"/>
      <c r="AN78" s="56"/>
      <c r="AO78" s="56"/>
      <c r="AP78" s="56"/>
      <c r="AQ78" s="56"/>
      <c r="AR78" s="56"/>
      <c r="AS78" s="56"/>
      <c r="AT78" s="56"/>
      <c r="AU78" s="56"/>
      <c r="AV78" s="56"/>
      <c r="AW78" s="56"/>
      <c r="AX78" s="56"/>
      <c r="AY78" s="208"/>
      <c r="AZ78" s="211"/>
    </row>
    <row r="79" ht="12.75" customHeight="1" hidden="1">
      <c r="A79" s="302"/>
      <c r="B79" s="238"/>
      <c r="C79" s="56"/>
      <c r="D79" s="56"/>
      <c r="E79" s="56"/>
      <c r="F79" s="56"/>
      <c r="G79" s="56"/>
      <c r="H79" s="56"/>
      <c r="I79" s="256"/>
      <c r="J79" s="256"/>
      <c r="K79" s="256"/>
      <c r="L79" s="256"/>
      <c r="M79" s="256"/>
      <c r="N79" s="256"/>
      <c r="O79" s="256"/>
      <c r="P79" s="256"/>
      <c r="Q79" s="256"/>
      <c r="R79" s="256"/>
      <c r="S79" s="208"/>
      <c r="T79" s="256"/>
      <c r="U79" s="237"/>
      <c r="V79" s="256"/>
      <c r="W79" s="256"/>
      <c r="X79" s="256"/>
      <c r="Y79" s="256"/>
      <c r="Z79" s="256"/>
      <c r="AA79" s="256"/>
      <c r="AB79" s="256"/>
      <c r="AC79" s="256"/>
      <c r="AD79" s="256"/>
      <c r="AE79" s="256"/>
      <c r="AF79" s="256"/>
      <c r="AG79" s="256"/>
      <c r="AH79" s="237"/>
      <c r="AI79" s="56"/>
      <c r="AJ79" s="56"/>
      <c r="AK79" s="56"/>
      <c r="AL79" s="56"/>
      <c r="AM79" s="56"/>
      <c r="AN79" s="56"/>
      <c r="AO79" s="56"/>
      <c r="AP79" s="56"/>
      <c r="AQ79" s="56"/>
      <c r="AR79" s="56"/>
      <c r="AS79" s="56"/>
      <c r="AT79" s="56"/>
      <c r="AU79" s="56"/>
      <c r="AV79" s="56"/>
      <c r="AW79" s="56"/>
      <c r="AX79" s="56"/>
      <c r="AY79" s="208"/>
      <c r="AZ79" s="211"/>
    </row>
    <row r="80" ht="12.75" customHeight="1" hidden="1">
      <c r="A80" s="302"/>
      <c r="B80" s="238"/>
      <c r="C80" s="56"/>
      <c r="D80" s="56"/>
      <c r="E80" s="56"/>
      <c r="F80" s="56"/>
      <c r="G80" s="56"/>
      <c r="H80" s="56"/>
      <c r="I80" s="56"/>
      <c r="J80" s="56"/>
      <c r="K80" s="56"/>
      <c r="L80" s="256"/>
      <c r="M80" s="256"/>
      <c r="N80" s="256"/>
      <c r="O80" s="256"/>
      <c r="P80" s="256"/>
      <c r="Q80" s="256"/>
      <c r="R80" s="256"/>
      <c r="S80" s="208"/>
      <c r="T80" s="256"/>
      <c r="U80" s="256"/>
      <c r="V80" s="256"/>
      <c r="W80" s="256"/>
      <c r="X80" s="237"/>
      <c r="Y80" s="256"/>
      <c r="Z80" s="256"/>
      <c r="AA80" s="256"/>
      <c r="AB80" s="256"/>
      <c r="AC80" s="256"/>
      <c r="AD80" s="256"/>
      <c r="AE80" s="256"/>
      <c r="AF80" s="256"/>
      <c r="AG80" s="256"/>
      <c r="AH80" s="256"/>
      <c r="AI80" s="256"/>
      <c r="AJ80" s="256"/>
      <c r="AK80" s="237"/>
      <c r="AL80" s="56"/>
      <c r="AM80" s="56"/>
      <c r="AN80" s="56"/>
      <c r="AO80" s="56"/>
      <c r="AP80" s="56"/>
      <c r="AQ80" s="56"/>
      <c r="AR80" s="56"/>
      <c r="AS80" s="56"/>
      <c r="AT80" s="56"/>
      <c r="AU80" s="56"/>
      <c r="AV80" s="56"/>
      <c r="AW80" s="56"/>
      <c r="AX80" s="56"/>
      <c r="AY80" s="208"/>
      <c r="AZ80" s="211"/>
    </row>
    <row r="81" ht="18" customHeight="1" hidden="1">
      <c r="A81" s="302"/>
      <c r="B81" s="238"/>
      <c r="C81" s="56"/>
      <c r="D81" s="56"/>
      <c r="E81" s="56"/>
      <c r="F81" s="56"/>
      <c r="G81" s="56"/>
      <c r="H81" s="56"/>
      <c r="I81" s="56"/>
      <c r="J81" s="56"/>
      <c r="K81" s="56"/>
      <c r="L81" s="256"/>
      <c r="M81" s="256"/>
      <c r="N81" s="256"/>
      <c r="O81" s="256"/>
      <c r="P81" s="256"/>
      <c r="Q81" s="256"/>
      <c r="R81" s="256"/>
      <c r="S81" s="208"/>
      <c r="T81" s="256"/>
      <c r="U81" s="256"/>
      <c r="V81" s="256"/>
      <c r="W81" s="256"/>
      <c r="X81" s="237"/>
      <c r="Y81" s="256"/>
      <c r="Z81" s="256"/>
      <c r="AA81" s="256"/>
      <c r="AB81" s="256"/>
      <c r="AC81" s="256"/>
      <c r="AD81" s="256"/>
      <c r="AE81" s="256"/>
      <c r="AF81" s="256"/>
      <c r="AG81" s="256"/>
      <c r="AH81" s="256"/>
      <c r="AI81" s="256"/>
      <c r="AJ81" s="256"/>
      <c r="AK81" s="237"/>
      <c r="AL81" s="56"/>
      <c r="AM81" s="56"/>
      <c r="AN81" s="56"/>
      <c r="AO81" s="56"/>
      <c r="AP81" s="56"/>
      <c r="AQ81" s="56"/>
      <c r="AR81" s="56"/>
      <c r="AS81" s="56"/>
      <c r="AT81" s="56"/>
      <c r="AU81" s="56"/>
      <c r="AV81" s="56"/>
      <c r="AW81" s="56"/>
      <c r="AX81" s="56"/>
      <c r="AY81" s="208"/>
      <c r="AZ81" s="211"/>
    </row>
    <row r="82" ht="18" customHeight="1" hidden="1">
      <c r="A82" s="302"/>
      <c r="B82" s="238"/>
      <c r="C82" s="56"/>
      <c r="D82" s="56"/>
      <c r="E82" s="56"/>
      <c r="F82" s="56"/>
      <c r="G82" s="56"/>
      <c r="H82" s="56"/>
      <c r="I82" s="56"/>
      <c r="J82" s="56"/>
      <c r="K82" s="56"/>
      <c r="L82" s="256"/>
      <c r="M82" s="256"/>
      <c r="N82" s="256"/>
      <c r="O82" s="256"/>
      <c r="P82" s="256"/>
      <c r="Q82" s="256"/>
      <c r="R82" s="256"/>
      <c r="S82" s="208"/>
      <c r="T82" s="256"/>
      <c r="U82" s="256"/>
      <c r="V82" s="256"/>
      <c r="W82" s="256"/>
      <c r="X82" s="237"/>
      <c r="Y82" s="256"/>
      <c r="Z82" s="256"/>
      <c r="AA82" s="256"/>
      <c r="AB82" s="256"/>
      <c r="AC82" s="256"/>
      <c r="AD82" s="256"/>
      <c r="AE82" s="256"/>
      <c r="AF82" s="256"/>
      <c r="AG82" s="256"/>
      <c r="AH82" s="256"/>
      <c r="AI82" s="256"/>
      <c r="AJ82" s="256"/>
      <c r="AK82" s="237"/>
      <c r="AL82" s="56"/>
      <c r="AM82" s="56"/>
      <c r="AN82" s="56"/>
      <c r="AO82" s="56"/>
      <c r="AP82" s="56"/>
      <c r="AQ82" s="56"/>
      <c r="AR82" s="56"/>
      <c r="AS82" s="56"/>
      <c r="AT82" s="56"/>
      <c r="AU82" s="56"/>
      <c r="AV82" s="56"/>
      <c r="AW82" s="56"/>
      <c r="AX82" s="56"/>
      <c r="AY82" s="208"/>
      <c r="AZ82" s="211"/>
    </row>
    <row r="83" ht="18" customHeight="1" hidden="1">
      <c r="A83" s="302"/>
      <c r="B83" s="238"/>
      <c r="C83" s="56"/>
      <c r="D83" s="56"/>
      <c r="E83" s="56"/>
      <c r="F83" s="56"/>
      <c r="G83" s="56"/>
      <c r="H83" s="56"/>
      <c r="I83" s="56"/>
      <c r="J83" s="56"/>
      <c r="K83" s="56"/>
      <c r="L83" s="256"/>
      <c r="M83" s="256"/>
      <c r="N83" s="256"/>
      <c r="O83" s="256"/>
      <c r="P83" s="256"/>
      <c r="Q83" s="256"/>
      <c r="R83" s="256"/>
      <c r="S83" s="208"/>
      <c r="T83" s="256"/>
      <c r="U83" s="256"/>
      <c r="V83" s="256"/>
      <c r="W83" s="256"/>
      <c r="X83" s="237"/>
      <c r="Y83" s="256"/>
      <c r="Z83" s="256"/>
      <c r="AA83" s="256"/>
      <c r="AB83" s="256"/>
      <c r="AC83" s="256"/>
      <c r="AD83" s="256"/>
      <c r="AE83" s="256"/>
      <c r="AF83" s="256"/>
      <c r="AG83" s="256"/>
      <c r="AH83" s="256"/>
      <c r="AI83" s="256"/>
      <c r="AJ83" s="256"/>
      <c r="AK83" s="237"/>
      <c r="AL83" s="56"/>
      <c r="AM83" s="56"/>
      <c r="AN83" s="56"/>
      <c r="AO83" s="56"/>
      <c r="AP83" s="56"/>
      <c r="AQ83" s="56"/>
      <c r="AR83" s="56"/>
      <c r="AS83" s="56"/>
      <c r="AT83" s="56"/>
      <c r="AU83" s="56"/>
      <c r="AV83" s="56"/>
      <c r="AW83" s="56"/>
      <c r="AX83" s="56"/>
      <c r="AY83" s="208"/>
      <c r="AZ83" s="211"/>
    </row>
    <row r="84" ht="18" customHeight="1" hidden="1">
      <c r="A84" s="302"/>
      <c r="B84" s="238"/>
      <c r="C84" s="56"/>
      <c r="D84" s="56"/>
      <c r="E84" s="56"/>
      <c r="F84" s="56"/>
      <c r="G84" s="56"/>
      <c r="H84" s="56"/>
      <c r="I84" s="56"/>
      <c r="J84" s="56"/>
      <c r="K84" s="56"/>
      <c r="L84" s="256"/>
      <c r="M84" s="256"/>
      <c r="N84" s="256"/>
      <c r="O84" s="256"/>
      <c r="P84" s="256"/>
      <c r="Q84" s="256"/>
      <c r="R84" s="256"/>
      <c r="S84" s="208"/>
      <c r="T84" s="256"/>
      <c r="U84" s="256"/>
      <c r="V84" s="256"/>
      <c r="W84" s="256"/>
      <c r="X84" s="237"/>
      <c r="Y84" s="256"/>
      <c r="Z84" s="256"/>
      <c r="AA84" s="256"/>
      <c r="AB84" s="256"/>
      <c r="AC84" s="256"/>
      <c r="AD84" s="256"/>
      <c r="AE84" s="256"/>
      <c r="AF84" s="256"/>
      <c r="AG84" s="256"/>
      <c r="AH84" s="256"/>
      <c r="AI84" s="256"/>
      <c r="AJ84" s="256"/>
      <c r="AK84" s="237"/>
      <c r="AL84" s="56"/>
      <c r="AM84" s="56"/>
      <c r="AN84" s="56"/>
      <c r="AO84" s="56"/>
      <c r="AP84" s="56"/>
      <c r="AQ84" s="56"/>
      <c r="AR84" s="56"/>
      <c r="AS84" s="56"/>
      <c r="AT84" s="56"/>
      <c r="AU84" s="56"/>
      <c r="AV84" s="56"/>
      <c r="AW84" s="56"/>
      <c r="AX84" s="56"/>
      <c r="AY84" s="208"/>
      <c r="AZ84" s="211"/>
    </row>
    <row r="85" ht="18" customHeight="1" hidden="1">
      <c r="A85" s="302"/>
      <c r="B85" s="238"/>
      <c r="C85" s="56"/>
      <c r="D85" s="56"/>
      <c r="E85" s="56"/>
      <c r="F85" s="56"/>
      <c r="G85" s="56"/>
      <c r="H85" s="56"/>
      <c r="I85" s="56"/>
      <c r="J85" s="56"/>
      <c r="K85" s="56"/>
      <c r="L85" s="256"/>
      <c r="M85" s="256"/>
      <c r="N85" s="256"/>
      <c r="O85" s="256"/>
      <c r="P85" s="256"/>
      <c r="Q85" s="256"/>
      <c r="R85" s="256"/>
      <c r="S85" s="208"/>
      <c r="T85" s="256"/>
      <c r="U85" s="256"/>
      <c r="V85" s="256"/>
      <c r="W85" s="256"/>
      <c r="X85" s="237"/>
      <c r="Y85" s="256"/>
      <c r="Z85" s="256"/>
      <c r="AA85" s="256"/>
      <c r="AB85" s="256"/>
      <c r="AC85" s="256"/>
      <c r="AD85" s="256"/>
      <c r="AE85" s="256"/>
      <c r="AF85" s="256"/>
      <c r="AG85" s="256"/>
      <c r="AH85" s="256"/>
      <c r="AI85" s="256"/>
      <c r="AJ85" s="256"/>
      <c r="AK85" s="237"/>
      <c r="AL85" s="56"/>
      <c r="AM85" s="56"/>
      <c r="AN85" s="56"/>
      <c r="AO85" s="56"/>
      <c r="AP85" s="56"/>
      <c r="AQ85" s="56"/>
      <c r="AR85" s="56"/>
      <c r="AS85" s="56"/>
      <c r="AT85" s="56"/>
      <c r="AU85" s="56"/>
      <c r="AV85" s="56"/>
      <c r="AW85" s="56"/>
      <c r="AX85" s="56"/>
      <c r="AY85" s="208"/>
      <c r="AZ85" s="211"/>
    </row>
    <row r="86" ht="18" customHeight="1" hidden="1">
      <c r="A86" s="302"/>
      <c r="B86" s="238"/>
      <c r="C86" s="56"/>
      <c r="D86" s="56"/>
      <c r="E86" s="56"/>
      <c r="F86" s="56"/>
      <c r="G86" s="56"/>
      <c r="H86" s="56"/>
      <c r="I86" s="56"/>
      <c r="J86" s="56"/>
      <c r="K86" s="56"/>
      <c r="L86" s="256"/>
      <c r="M86" s="256"/>
      <c r="N86" s="256"/>
      <c r="O86" s="256"/>
      <c r="P86" s="256"/>
      <c r="Q86" s="256"/>
      <c r="R86" s="256"/>
      <c r="S86" s="208"/>
      <c r="T86" s="256"/>
      <c r="U86" s="256"/>
      <c r="V86" s="256"/>
      <c r="W86" s="256"/>
      <c r="X86" s="237"/>
      <c r="Y86" s="256"/>
      <c r="Z86" s="256"/>
      <c r="AA86" s="256"/>
      <c r="AB86" s="256"/>
      <c r="AC86" s="256"/>
      <c r="AD86" s="256"/>
      <c r="AE86" s="256"/>
      <c r="AF86" s="256"/>
      <c r="AG86" s="256"/>
      <c r="AH86" s="256"/>
      <c r="AI86" s="256"/>
      <c r="AJ86" s="256"/>
      <c r="AK86" s="237"/>
      <c r="AL86" s="56"/>
      <c r="AM86" s="56"/>
      <c r="AN86" s="56"/>
      <c r="AO86" s="56"/>
      <c r="AP86" s="56"/>
      <c r="AQ86" s="56"/>
      <c r="AR86" s="56"/>
      <c r="AS86" s="56"/>
      <c r="AT86" s="56"/>
      <c r="AU86" s="56"/>
      <c r="AV86" s="56"/>
      <c r="AW86" s="56"/>
      <c r="AX86" s="56"/>
      <c r="AY86" s="208"/>
      <c r="AZ86" s="211"/>
    </row>
    <row r="87" ht="18" customHeight="1" hidden="1">
      <c r="A87" s="302"/>
      <c r="B87" s="238"/>
      <c r="C87" s="56"/>
      <c r="D87" s="56"/>
      <c r="E87" s="56"/>
      <c r="F87" s="56"/>
      <c r="G87" s="56"/>
      <c r="H87" s="56"/>
      <c r="I87" s="56"/>
      <c r="J87" s="56"/>
      <c r="K87" s="56"/>
      <c r="L87" s="256"/>
      <c r="M87" s="256"/>
      <c r="N87" s="256"/>
      <c r="O87" s="256"/>
      <c r="P87" s="256"/>
      <c r="Q87" s="256"/>
      <c r="R87" s="256"/>
      <c r="S87" s="208"/>
      <c r="T87" s="256"/>
      <c r="U87" s="256"/>
      <c r="V87" s="256"/>
      <c r="W87" s="256"/>
      <c r="X87" s="237"/>
      <c r="Y87" s="256"/>
      <c r="Z87" s="256"/>
      <c r="AA87" s="256"/>
      <c r="AB87" s="256"/>
      <c r="AC87" s="256"/>
      <c r="AD87" s="256"/>
      <c r="AE87" s="256"/>
      <c r="AF87" s="256"/>
      <c r="AG87" s="256"/>
      <c r="AH87" s="256"/>
      <c r="AI87" s="256"/>
      <c r="AJ87" s="256"/>
      <c r="AK87" s="237"/>
      <c r="AL87" s="56"/>
      <c r="AM87" s="56"/>
      <c r="AN87" s="56"/>
      <c r="AO87" s="56"/>
      <c r="AP87" s="56"/>
      <c r="AQ87" s="56"/>
      <c r="AR87" s="56"/>
      <c r="AS87" s="56"/>
      <c r="AT87" s="56"/>
      <c r="AU87" s="56"/>
      <c r="AV87" s="56"/>
      <c r="AW87" s="56"/>
      <c r="AX87" s="56"/>
      <c r="AY87" s="208"/>
      <c r="AZ87" s="211"/>
    </row>
    <row r="88" ht="18" customHeight="1" hidden="1">
      <c r="A88" s="302"/>
      <c r="B88" s="238"/>
      <c r="C88" s="56"/>
      <c r="D88" s="56"/>
      <c r="E88" s="56"/>
      <c r="F88" s="56"/>
      <c r="G88" s="56"/>
      <c r="H88" s="56"/>
      <c r="I88" s="56"/>
      <c r="J88" s="56"/>
      <c r="K88" s="56"/>
      <c r="L88" s="256"/>
      <c r="M88" s="256"/>
      <c r="N88" s="256"/>
      <c r="O88" s="256"/>
      <c r="P88" s="256"/>
      <c r="Q88" s="256"/>
      <c r="R88" s="256"/>
      <c r="S88" s="208"/>
      <c r="T88" s="256"/>
      <c r="U88" s="256"/>
      <c r="V88" s="256"/>
      <c r="W88" s="256"/>
      <c r="X88" s="237"/>
      <c r="Y88" s="256"/>
      <c r="Z88" s="256"/>
      <c r="AA88" s="256"/>
      <c r="AB88" s="256"/>
      <c r="AC88" s="256"/>
      <c r="AD88" s="256"/>
      <c r="AE88" s="256"/>
      <c r="AF88" s="256"/>
      <c r="AG88" s="256"/>
      <c r="AH88" s="256"/>
      <c r="AI88" s="256"/>
      <c r="AJ88" s="256"/>
      <c r="AK88" s="237"/>
      <c r="AL88" s="56"/>
      <c r="AM88" s="56"/>
      <c r="AN88" s="56"/>
      <c r="AO88" s="56"/>
      <c r="AP88" s="56"/>
      <c r="AQ88" s="56"/>
      <c r="AR88" s="56"/>
      <c r="AS88" s="56"/>
      <c r="AT88" s="56"/>
      <c r="AU88" s="56"/>
      <c r="AV88" s="56"/>
      <c r="AW88" s="56"/>
      <c r="AX88" s="56"/>
      <c r="AY88" s="208"/>
      <c r="AZ88" s="211"/>
    </row>
    <row r="89" ht="18" customHeight="1" hidden="1">
      <c r="A89" s="302"/>
      <c r="B89" s="238"/>
      <c r="C89" s="56"/>
      <c r="D89" s="56"/>
      <c r="E89" s="56"/>
      <c r="F89" s="56"/>
      <c r="G89" s="56"/>
      <c r="H89" s="56"/>
      <c r="I89" s="56"/>
      <c r="J89" s="56"/>
      <c r="K89" s="56"/>
      <c r="L89" s="256"/>
      <c r="M89" s="256"/>
      <c r="N89" s="256"/>
      <c r="O89" s="256"/>
      <c r="P89" s="256"/>
      <c r="Q89" s="256"/>
      <c r="R89" s="256"/>
      <c r="S89" s="208"/>
      <c r="T89" s="256"/>
      <c r="U89" s="256"/>
      <c r="V89" s="256"/>
      <c r="W89" s="256"/>
      <c r="X89" s="237"/>
      <c r="Y89" s="256"/>
      <c r="Z89" s="256"/>
      <c r="AA89" s="256"/>
      <c r="AB89" s="256"/>
      <c r="AC89" s="256"/>
      <c r="AD89" s="256"/>
      <c r="AE89" s="256"/>
      <c r="AF89" s="256"/>
      <c r="AG89" s="256"/>
      <c r="AH89" s="256"/>
      <c r="AI89" s="256"/>
      <c r="AJ89" s="256"/>
      <c r="AK89" s="237"/>
      <c r="AL89" s="56"/>
      <c r="AM89" s="56"/>
      <c r="AN89" s="56"/>
      <c r="AO89" s="56"/>
      <c r="AP89" s="56"/>
      <c r="AQ89" s="56"/>
      <c r="AR89" s="56"/>
      <c r="AS89" s="56"/>
      <c r="AT89" s="56"/>
      <c r="AU89" s="56"/>
      <c r="AV89" s="56"/>
      <c r="AW89" s="56"/>
      <c r="AX89" s="56"/>
      <c r="AY89" s="208"/>
      <c r="AZ89" s="211"/>
    </row>
    <row r="90" ht="18" customHeight="1" hidden="1">
      <c r="A90" s="302"/>
      <c r="B90" s="238"/>
      <c r="C90" s="56"/>
      <c r="D90" s="56"/>
      <c r="E90" s="56"/>
      <c r="F90" s="56"/>
      <c r="G90" s="56"/>
      <c r="H90" s="56"/>
      <c r="I90" s="56"/>
      <c r="J90" s="56"/>
      <c r="K90" s="56"/>
      <c r="L90" s="256"/>
      <c r="M90" s="256"/>
      <c r="N90" s="256"/>
      <c r="O90" s="256"/>
      <c r="P90" s="256"/>
      <c r="Q90" s="256"/>
      <c r="R90" s="256"/>
      <c r="S90" s="208"/>
      <c r="T90" s="256"/>
      <c r="U90" s="256"/>
      <c r="V90" s="256"/>
      <c r="W90" s="256"/>
      <c r="X90" s="237"/>
      <c r="Y90" s="256"/>
      <c r="Z90" s="256"/>
      <c r="AA90" s="256"/>
      <c r="AB90" s="256"/>
      <c r="AC90" s="256"/>
      <c r="AD90" s="256"/>
      <c r="AE90" s="256"/>
      <c r="AF90" s="256"/>
      <c r="AG90" s="256"/>
      <c r="AH90" s="256"/>
      <c r="AI90" s="256"/>
      <c r="AJ90" s="256"/>
      <c r="AK90" s="237"/>
      <c r="AL90" s="56"/>
      <c r="AM90" s="56"/>
      <c r="AN90" s="56"/>
      <c r="AO90" s="56"/>
      <c r="AP90" s="56"/>
      <c r="AQ90" s="56"/>
      <c r="AR90" s="56"/>
      <c r="AS90" s="56"/>
      <c r="AT90" s="56"/>
      <c r="AU90" s="56"/>
      <c r="AV90" s="56"/>
      <c r="AW90" s="56"/>
      <c r="AX90" s="56"/>
      <c r="AY90" s="208"/>
      <c r="AZ90" s="211"/>
    </row>
    <row r="91" ht="18" customHeight="1" hidden="1">
      <c r="A91" s="302"/>
      <c r="B91" s="238"/>
      <c r="C91" s="56"/>
      <c r="D91" s="56"/>
      <c r="E91" s="56"/>
      <c r="F91" s="56"/>
      <c r="G91" s="56"/>
      <c r="H91" s="56"/>
      <c r="I91" s="56"/>
      <c r="J91" s="56"/>
      <c r="K91" s="56"/>
      <c r="L91" s="256"/>
      <c r="M91" s="256"/>
      <c r="N91" s="256"/>
      <c r="O91" s="256"/>
      <c r="P91" s="256"/>
      <c r="Q91" s="256"/>
      <c r="R91" s="256"/>
      <c r="S91" s="208"/>
      <c r="T91" s="256"/>
      <c r="U91" s="256"/>
      <c r="V91" s="256"/>
      <c r="W91" s="256"/>
      <c r="X91" s="237"/>
      <c r="Y91" s="256"/>
      <c r="Z91" s="256"/>
      <c r="AA91" s="256"/>
      <c r="AB91" s="256"/>
      <c r="AC91" s="256"/>
      <c r="AD91" s="256"/>
      <c r="AE91" s="256"/>
      <c r="AF91" s="256"/>
      <c r="AG91" s="256"/>
      <c r="AH91" s="256"/>
      <c r="AI91" s="256"/>
      <c r="AJ91" s="256"/>
      <c r="AK91" s="237"/>
      <c r="AL91" s="56"/>
      <c r="AM91" s="56"/>
      <c r="AN91" s="56"/>
      <c r="AO91" s="56"/>
      <c r="AP91" s="56"/>
      <c r="AQ91" s="56"/>
      <c r="AR91" s="56"/>
      <c r="AS91" s="56"/>
      <c r="AT91" s="56"/>
      <c r="AU91" s="56"/>
      <c r="AV91" s="56"/>
      <c r="AW91" s="56"/>
      <c r="AX91" s="56"/>
      <c r="AY91" s="208"/>
      <c r="AZ91" s="211"/>
    </row>
    <row r="92" ht="18" customHeight="1" hidden="1">
      <c r="A92" s="302"/>
      <c r="B92" s="238"/>
      <c r="C92" s="56"/>
      <c r="D92" s="56"/>
      <c r="E92" s="56"/>
      <c r="F92" s="56"/>
      <c r="G92" s="56"/>
      <c r="H92" s="56"/>
      <c r="I92" s="56"/>
      <c r="J92" s="56"/>
      <c r="K92" s="56"/>
      <c r="L92" s="256"/>
      <c r="M92" s="256"/>
      <c r="N92" s="256"/>
      <c r="O92" s="256"/>
      <c r="P92" s="256"/>
      <c r="Q92" s="256"/>
      <c r="R92" s="256"/>
      <c r="S92" s="208"/>
      <c r="T92" s="256"/>
      <c r="U92" s="256"/>
      <c r="V92" s="256"/>
      <c r="W92" s="256"/>
      <c r="X92" s="237"/>
      <c r="Y92" s="256"/>
      <c r="Z92" s="256"/>
      <c r="AA92" s="256"/>
      <c r="AB92" s="256"/>
      <c r="AC92" s="256"/>
      <c r="AD92" s="256"/>
      <c r="AE92" s="256"/>
      <c r="AF92" s="256"/>
      <c r="AG92" s="256"/>
      <c r="AH92" s="256"/>
      <c r="AI92" s="256"/>
      <c r="AJ92" s="256"/>
      <c r="AK92" s="237"/>
      <c r="AL92" s="56"/>
      <c r="AM92" s="56"/>
      <c r="AN92" s="56"/>
      <c r="AO92" s="56"/>
      <c r="AP92" s="56"/>
      <c r="AQ92" s="56"/>
      <c r="AR92" s="56"/>
      <c r="AS92" s="56"/>
      <c r="AT92" s="56"/>
      <c r="AU92" s="56"/>
      <c r="AV92" s="56"/>
      <c r="AW92" s="56"/>
      <c r="AX92" s="56"/>
      <c r="AY92" s="208"/>
      <c r="AZ92" s="211"/>
    </row>
    <row r="93" ht="18" customHeight="1" hidden="1">
      <c r="A93" s="302"/>
      <c r="B93" s="238"/>
      <c r="C93" s="56"/>
      <c r="D93" s="56"/>
      <c r="E93" s="56"/>
      <c r="F93" s="56"/>
      <c r="G93" s="56"/>
      <c r="H93" s="56"/>
      <c r="I93" s="56"/>
      <c r="J93" s="56"/>
      <c r="K93" s="56"/>
      <c r="L93" s="256"/>
      <c r="M93" s="256"/>
      <c r="N93" s="256"/>
      <c r="O93" s="256"/>
      <c r="P93" s="256"/>
      <c r="Q93" s="256"/>
      <c r="R93" s="256"/>
      <c r="S93" s="208"/>
      <c r="T93" s="256"/>
      <c r="U93" s="256"/>
      <c r="V93" s="256"/>
      <c r="W93" s="256"/>
      <c r="X93" s="237"/>
      <c r="Y93" s="256"/>
      <c r="Z93" s="256"/>
      <c r="AA93" s="256"/>
      <c r="AB93" s="256"/>
      <c r="AC93" s="256"/>
      <c r="AD93" s="256"/>
      <c r="AE93" s="256"/>
      <c r="AF93" s="256"/>
      <c r="AG93" s="256"/>
      <c r="AH93" s="256"/>
      <c r="AI93" s="256"/>
      <c r="AJ93" s="256"/>
      <c r="AK93" s="237"/>
      <c r="AL93" s="56"/>
      <c r="AM93" s="56"/>
      <c r="AN93" s="56"/>
      <c r="AO93" s="56"/>
      <c r="AP93" s="56"/>
      <c r="AQ93" s="56"/>
      <c r="AR93" s="56"/>
      <c r="AS93" s="56"/>
      <c r="AT93" s="56"/>
      <c r="AU93" s="56"/>
      <c r="AV93" s="56"/>
      <c r="AW93" s="56"/>
      <c r="AX93" s="56"/>
      <c r="AY93" s="208"/>
      <c r="AZ93" s="211"/>
    </row>
    <row r="94" ht="18" customHeight="1" hidden="1">
      <c r="A94" s="302"/>
      <c r="B94" s="238"/>
      <c r="C94" s="56"/>
      <c r="D94" s="56"/>
      <c r="E94" s="56"/>
      <c r="F94" s="56"/>
      <c r="G94" s="56"/>
      <c r="H94" s="56"/>
      <c r="I94" s="56"/>
      <c r="J94" s="56"/>
      <c r="K94" s="56"/>
      <c r="L94" s="256"/>
      <c r="M94" s="256"/>
      <c r="N94" s="256"/>
      <c r="O94" s="256"/>
      <c r="P94" s="256"/>
      <c r="Q94" s="256"/>
      <c r="R94" s="256"/>
      <c r="S94" s="208"/>
      <c r="T94" s="256"/>
      <c r="U94" s="256"/>
      <c r="V94" s="256"/>
      <c r="W94" s="256"/>
      <c r="X94" s="237"/>
      <c r="Y94" s="256"/>
      <c r="Z94" s="256"/>
      <c r="AA94" s="256"/>
      <c r="AB94" s="256"/>
      <c r="AC94" s="256"/>
      <c r="AD94" s="256"/>
      <c r="AE94" s="256"/>
      <c r="AF94" s="256"/>
      <c r="AG94" s="256"/>
      <c r="AH94" s="256"/>
      <c r="AI94" s="256"/>
      <c r="AJ94" s="256"/>
      <c r="AK94" s="237"/>
      <c r="AL94" s="56"/>
      <c r="AM94" s="56"/>
      <c r="AN94" s="56"/>
      <c r="AO94" s="56"/>
      <c r="AP94" s="56"/>
      <c r="AQ94" s="56"/>
      <c r="AR94" s="56"/>
      <c r="AS94" s="56"/>
      <c r="AT94" s="56"/>
      <c r="AU94" s="56"/>
      <c r="AV94" s="56"/>
      <c r="AW94" s="56"/>
      <c r="AX94" s="56"/>
      <c r="AY94" s="208"/>
      <c r="AZ94" s="211"/>
    </row>
    <row r="95" ht="18" customHeight="1" hidden="1">
      <c r="A95" s="302"/>
      <c r="B95" s="238"/>
      <c r="C95" s="56"/>
      <c r="D95" s="56"/>
      <c r="E95" s="56"/>
      <c r="F95" s="56"/>
      <c r="G95" s="56"/>
      <c r="H95" s="56"/>
      <c r="I95" s="56"/>
      <c r="J95" s="56"/>
      <c r="K95" s="56"/>
      <c r="L95" s="256"/>
      <c r="M95" s="256"/>
      <c r="N95" s="256"/>
      <c r="O95" s="256"/>
      <c r="P95" s="256"/>
      <c r="Q95" s="256"/>
      <c r="R95" s="256"/>
      <c r="S95" s="208"/>
      <c r="T95" s="256"/>
      <c r="U95" s="256"/>
      <c r="V95" s="256"/>
      <c r="W95" s="256"/>
      <c r="X95" s="237"/>
      <c r="Y95" s="256"/>
      <c r="Z95" s="256"/>
      <c r="AA95" s="256"/>
      <c r="AB95" s="256"/>
      <c r="AC95" s="256"/>
      <c r="AD95" s="256"/>
      <c r="AE95" s="256"/>
      <c r="AF95" s="256"/>
      <c r="AG95" s="256"/>
      <c r="AH95" s="256"/>
      <c r="AI95" s="256"/>
      <c r="AJ95" s="256"/>
      <c r="AK95" s="237"/>
      <c r="AL95" s="56"/>
      <c r="AM95" s="56"/>
      <c r="AN95" s="56"/>
      <c r="AO95" s="56"/>
      <c r="AP95" s="56"/>
      <c r="AQ95" s="56"/>
      <c r="AR95" s="56"/>
      <c r="AS95" s="56"/>
      <c r="AT95" s="56"/>
      <c r="AU95" s="56"/>
      <c r="AV95" s="56"/>
      <c r="AW95" s="56"/>
      <c r="AX95" s="56"/>
      <c r="AY95" s="208"/>
      <c r="AZ95" s="211"/>
    </row>
    <row r="96" ht="18" customHeight="1" hidden="1">
      <c r="A96" s="302"/>
      <c r="B96" s="238"/>
      <c r="C96" s="56"/>
      <c r="D96" s="56"/>
      <c r="E96" s="56"/>
      <c r="F96" s="56"/>
      <c r="G96" s="56"/>
      <c r="H96" s="56"/>
      <c r="I96" s="56"/>
      <c r="J96" s="56"/>
      <c r="K96" s="56"/>
      <c r="L96" s="256"/>
      <c r="M96" s="256"/>
      <c r="N96" s="256"/>
      <c r="O96" s="256"/>
      <c r="P96" s="256"/>
      <c r="Q96" s="256"/>
      <c r="R96" s="256"/>
      <c r="S96" s="208"/>
      <c r="T96" s="256"/>
      <c r="U96" s="256"/>
      <c r="V96" s="256"/>
      <c r="W96" s="256"/>
      <c r="X96" s="237"/>
      <c r="Y96" s="256"/>
      <c r="Z96" s="256"/>
      <c r="AA96" s="256"/>
      <c r="AB96" s="256"/>
      <c r="AC96" s="256"/>
      <c r="AD96" s="256"/>
      <c r="AE96" s="256"/>
      <c r="AF96" s="256"/>
      <c r="AG96" s="256"/>
      <c r="AH96" s="256"/>
      <c r="AI96" s="256"/>
      <c r="AJ96" s="256"/>
      <c r="AK96" s="237"/>
      <c r="AL96" s="56"/>
      <c r="AM96" s="56"/>
      <c r="AN96" s="56"/>
      <c r="AO96" s="56"/>
      <c r="AP96" s="56"/>
      <c r="AQ96" s="56"/>
      <c r="AR96" s="56"/>
      <c r="AS96" s="56"/>
      <c r="AT96" s="56"/>
      <c r="AU96" s="56"/>
      <c r="AV96" s="56"/>
      <c r="AW96" s="56"/>
      <c r="AX96" s="56"/>
      <c r="AY96" s="208"/>
      <c r="AZ96" s="211"/>
    </row>
    <row r="97" ht="18" customHeight="1" hidden="1">
      <c r="A97" s="302"/>
      <c r="B97" s="238"/>
      <c r="C97" s="56"/>
      <c r="D97" s="56"/>
      <c r="E97" s="56"/>
      <c r="F97" s="56"/>
      <c r="G97" s="56"/>
      <c r="H97" s="56"/>
      <c r="I97" s="56"/>
      <c r="J97" s="56"/>
      <c r="K97" s="56"/>
      <c r="L97" s="256"/>
      <c r="M97" s="256"/>
      <c r="N97" s="256"/>
      <c r="O97" s="256"/>
      <c r="P97" s="256"/>
      <c r="Q97" s="256"/>
      <c r="R97" s="256"/>
      <c r="S97" s="208"/>
      <c r="T97" s="256"/>
      <c r="U97" s="256"/>
      <c r="V97" s="256"/>
      <c r="W97" s="256"/>
      <c r="X97" s="237"/>
      <c r="Y97" s="256"/>
      <c r="Z97" s="256"/>
      <c r="AA97" s="256"/>
      <c r="AB97" s="256"/>
      <c r="AC97" s="256"/>
      <c r="AD97" s="256"/>
      <c r="AE97" s="256"/>
      <c r="AF97" s="256"/>
      <c r="AG97" s="256"/>
      <c r="AH97" s="256"/>
      <c r="AI97" s="256"/>
      <c r="AJ97" s="256"/>
      <c r="AK97" s="237"/>
      <c r="AL97" s="56"/>
      <c r="AM97" s="56"/>
      <c r="AN97" s="56"/>
      <c r="AO97" s="56"/>
      <c r="AP97" s="56"/>
      <c r="AQ97" s="56"/>
      <c r="AR97" s="56"/>
      <c r="AS97" s="56"/>
      <c r="AT97" s="56"/>
      <c r="AU97" s="56"/>
      <c r="AV97" s="56"/>
      <c r="AW97" s="56"/>
      <c r="AX97" s="56"/>
      <c r="AY97" s="208"/>
      <c r="AZ97" s="211"/>
    </row>
    <row r="98" ht="18" customHeight="1" hidden="1">
      <c r="A98" s="302"/>
      <c r="B98" s="238"/>
      <c r="C98" s="56"/>
      <c r="D98" s="56"/>
      <c r="E98" s="56"/>
      <c r="F98" s="56"/>
      <c r="G98" s="56"/>
      <c r="H98" s="56"/>
      <c r="I98" s="56"/>
      <c r="J98" s="56"/>
      <c r="K98" s="56"/>
      <c r="L98" s="256"/>
      <c r="M98" s="256"/>
      <c r="N98" s="256"/>
      <c r="O98" s="256"/>
      <c r="P98" s="256"/>
      <c r="Q98" s="256"/>
      <c r="R98" s="256"/>
      <c r="S98" s="208"/>
      <c r="T98" s="256"/>
      <c r="U98" s="256"/>
      <c r="V98" s="256"/>
      <c r="W98" s="256"/>
      <c r="X98" s="237"/>
      <c r="Y98" s="256"/>
      <c r="Z98" s="256"/>
      <c r="AA98" s="256"/>
      <c r="AB98" s="256"/>
      <c r="AC98" s="256"/>
      <c r="AD98" s="256"/>
      <c r="AE98" s="256"/>
      <c r="AF98" s="256"/>
      <c r="AG98" s="256"/>
      <c r="AH98" s="256"/>
      <c r="AI98" s="256"/>
      <c r="AJ98" s="256"/>
      <c r="AK98" s="237"/>
      <c r="AL98" s="56"/>
      <c r="AM98" s="56"/>
      <c r="AN98" s="56"/>
      <c r="AO98" s="56"/>
      <c r="AP98" s="56"/>
      <c r="AQ98" s="56"/>
      <c r="AR98" s="56"/>
      <c r="AS98" s="56"/>
      <c r="AT98" s="56"/>
      <c r="AU98" s="56"/>
      <c r="AV98" s="56"/>
      <c r="AW98" s="56"/>
      <c r="AX98" s="56"/>
      <c r="AY98" s="208"/>
      <c r="AZ98" s="211"/>
    </row>
    <row r="99" ht="18" customHeight="1" hidden="1">
      <c r="A99" s="302"/>
      <c r="B99" s="238"/>
      <c r="C99" s="56"/>
      <c r="D99" s="56"/>
      <c r="E99" s="56"/>
      <c r="F99" s="56"/>
      <c r="G99" s="56"/>
      <c r="H99" s="56"/>
      <c r="I99" s="56"/>
      <c r="J99" s="56"/>
      <c r="K99" s="56"/>
      <c r="L99" s="256"/>
      <c r="M99" s="256"/>
      <c r="N99" s="256"/>
      <c r="O99" s="256"/>
      <c r="P99" s="256"/>
      <c r="Q99" s="256"/>
      <c r="R99" s="256"/>
      <c r="S99" s="208"/>
      <c r="T99" s="256"/>
      <c r="U99" s="256"/>
      <c r="V99" s="256"/>
      <c r="W99" s="256"/>
      <c r="X99" s="237"/>
      <c r="Y99" s="256"/>
      <c r="Z99" s="256"/>
      <c r="AA99" s="256"/>
      <c r="AB99" s="256"/>
      <c r="AC99" s="256"/>
      <c r="AD99" s="256"/>
      <c r="AE99" s="256"/>
      <c r="AF99" s="256"/>
      <c r="AG99" s="256"/>
      <c r="AH99" s="256"/>
      <c r="AI99" s="256"/>
      <c r="AJ99" s="256"/>
      <c r="AK99" s="237"/>
      <c r="AL99" s="56"/>
      <c r="AM99" s="56"/>
      <c r="AN99" s="56"/>
      <c r="AO99" s="56"/>
      <c r="AP99" s="56"/>
      <c r="AQ99" s="56"/>
      <c r="AR99" s="56"/>
      <c r="AS99" s="56"/>
      <c r="AT99" s="56"/>
      <c r="AU99" s="56"/>
      <c r="AV99" s="56"/>
      <c r="AW99" s="56"/>
      <c r="AX99" s="56"/>
      <c r="AY99" s="208"/>
      <c r="AZ99" s="211"/>
    </row>
    <row r="100" ht="18" customHeight="1" hidden="1">
      <c r="A100" s="302"/>
      <c r="B100" s="238"/>
      <c r="C100" s="56"/>
      <c r="D100" s="56"/>
      <c r="E100" s="56"/>
      <c r="F100" s="56"/>
      <c r="G100" s="56"/>
      <c r="H100" s="56"/>
      <c r="I100" s="56"/>
      <c r="J100" s="56"/>
      <c r="K100" s="56"/>
      <c r="L100" s="256"/>
      <c r="M100" s="256"/>
      <c r="N100" s="256"/>
      <c r="O100" s="256"/>
      <c r="P100" s="256"/>
      <c r="Q100" s="256"/>
      <c r="R100" s="256"/>
      <c r="S100" s="208"/>
      <c r="T100" s="256"/>
      <c r="U100" s="256"/>
      <c r="V100" s="256"/>
      <c r="W100" s="256"/>
      <c r="X100" s="237"/>
      <c r="Y100" s="256"/>
      <c r="Z100" s="256"/>
      <c r="AA100" s="256"/>
      <c r="AB100" s="256"/>
      <c r="AC100" s="256"/>
      <c r="AD100" s="256"/>
      <c r="AE100" s="256"/>
      <c r="AF100" s="256"/>
      <c r="AG100" s="256"/>
      <c r="AH100" s="256"/>
      <c r="AI100" s="256"/>
      <c r="AJ100" s="256"/>
      <c r="AK100" s="237"/>
      <c r="AL100" s="56"/>
      <c r="AM100" s="56"/>
      <c r="AN100" s="56"/>
      <c r="AO100" s="56"/>
      <c r="AP100" s="56"/>
      <c r="AQ100" s="56"/>
      <c r="AR100" s="56"/>
      <c r="AS100" s="56"/>
      <c r="AT100" s="56"/>
      <c r="AU100" s="56"/>
      <c r="AV100" s="56"/>
      <c r="AW100" s="56"/>
      <c r="AX100" s="56"/>
      <c r="AY100" s="208"/>
      <c r="AZ100" s="211"/>
    </row>
    <row r="101" ht="18" customHeight="1" hidden="1">
      <c r="A101" s="302"/>
      <c r="B101" s="238"/>
      <c r="C101" s="56"/>
      <c r="D101" s="56"/>
      <c r="E101" s="56"/>
      <c r="F101" s="56"/>
      <c r="G101" s="56"/>
      <c r="H101" s="56"/>
      <c r="I101" s="56"/>
      <c r="J101" s="56"/>
      <c r="K101" s="56"/>
      <c r="L101" s="256"/>
      <c r="M101" s="256"/>
      <c r="N101" s="256"/>
      <c r="O101" s="256"/>
      <c r="P101" s="256"/>
      <c r="Q101" s="256"/>
      <c r="R101" s="256"/>
      <c r="S101" s="208"/>
      <c r="T101" s="256"/>
      <c r="U101" s="256"/>
      <c r="V101" s="256"/>
      <c r="W101" s="256"/>
      <c r="X101" s="237"/>
      <c r="Y101" s="256"/>
      <c r="Z101" s="256"/>
      <c r="AA101" s="256"/>
      <c r="AB101" s="256"/>
      <c r="AC101" s="256"/>
      <c r="AD101" s="256"/>
      <c r="AE101" s="256"/>
      <c r="AF101" s="256"/>
      <c r="AG101" s="256"/>
      <c r="AH101" s="256"/>
      <c r="AI101" s="256"/>
      <c r="AJ101" s="256"/>
      <c r="AK101" s="237"/>
      <c r="AL101" s="56"/>
      <c r="AM101" s="56"/>
      <c r="AN101" s="56"/>
      <c r="AO101" s="56"/>
      <c r="AP101" s="56"/>
      <c r="AQ101" s="56"/>
      <c r="AR101" s="56"/>
      <c r="AS101" s="56"/>
      <c r="AT101" s="56"/>
      <c r="AU101" s="56"/>
      <c r="AV101" s="56"/>
      <c r="AW101" s="56"/>
      <c r="AX101" s="56"/>
      <c r="AY101" s="208"/>
      <c r="AZ101" s="211"/>
    </row>
    <row r="102" ht="18" customHeight="1" hidden="1">
      <c r="A102" s="302"/>
      <c r="B102" s="238"/>
      <c r="C102" s="56"/>
      <c r="D102" s="56"/>
      <c r="E102" s="56"/>
      <c r="F102" s="56"/>
      <c r="G102" s="56"/>
      <c r="H102" s="56"/>
      <c r="I102" s="56"/>
      <c r="J102" s="56"/>
      <c r="K102" s="56"/>
      <c r="L102" s="256"/>
      <c r="M102" s="256"/>
      <c r="N102" s="256"/>
      <c r="O102" s="256"/>
      <c r="P102" s="256"/>
      <c r="Q102" s="256"/>
      <c r="R102" s="256"/>
      <c r="S102" s="208"/>
      <c r="T102" s="256"/>
      <c r="U102" s="256"/>
      <c r="V102" s="256"/>
      <c r="W102" s="256"/>
      <c r="X102" s="237"/>
      <c r="Y102" s="256"/>
      <c r="Z102" s="256"/>
      <c r="AA102" s="256"/>
      <c r="AB102" s="256"/>
      <c r="AC102" s="256"/>
      <c r="AD102" s="256"/>
      <c r="AE102" s="256"/>
      <c r="AF102" s="256"/>
      <c r="AG102" s="256"/>
      <c r="AH102" s="256"/>
      <c r="AI102" s="256"/>
      <c r="AJ102" s="256"/>
      <c r="AK102" s="237"/>
      <c r="AL102" s="56"/>
      <c r="AM102" s="56"/>
      <c r="AN102" s="56"/>
      <c r="AO102" s="56"/>
      <c r="AP102" s="56"/>
      <c r="AQ102" s="56"/>
      <c r="AR102" s="56"/>
      <c r="AS102" s="56"/>
      <c r="AT102" s="56"/>
      <c r="AU102" s="56"/>
      <c r="AV102" s="56"/>
      <c r="AW102" s="56"/>
      <c r="AX102" s="56"/>
      <c r="AY102" s="208"/>
      <c r="AZ102" s="211"/>
    </row>
    <row r="103" ht="18" customHeight="1" hidden="1">
      <c r="A103" s="302"/>
      <c r="B103" s="238"/>
      <c r="C103" s="56"/>
      <c r="D103" s="56"/>
      <c r="E103" s="56"/>
      <c r="F103" s="56"/>
      <c r="G103" s="56"/>
      <c r="H103" s="56"/>
      <c r="I103" s="56"/>
      <c r="J103" s="56"/>
      <c r="K103" s="56"/>
      <c r="L103" s="256"/>
      <c r="M103" s="256"/>
      <c r="N103" s="256"/>
      <c r="O103" s="256"/>
      <c r="P103" s="256"/>
      <c r="Q103" s="256"/>
      <c r="R103" s="256"/>
      <c r="S103" s="208"/>
      <c r="T103" s="256"/>
      <c r="U103" s="256"/>
      <c r="V103" s="256"/>
      <c r="W103" s="256"/>
      <c r="X103" s="237"/>
      <c r="Y103" s="256"/>
      <c r="Z103" s="256"/>
      <c r="AA103" s="256"/>
      <c r="AB103" s="256"/>
      <c r="AC103" s="256"/>
      <c r="AD103" s="256"/>
      <c r="AE103" s="256"/>
      <c r="AF103" s="256"/>
      <c r="AG103" s="256"/>
      <c r="AH103" s="256"/>
      <c r="AI103" s="256"/>
      <c r="AJ103" s="256"/>
      <c r="AK103" s="237"/>
      <c r="AL103" s="56"/>
      <c r="AM103" s="56"/>
      <c r="AN103" s="56"/>
      <c r="AO103" s="56"/>
      <c r="AP103" s="56"/>
      <c r="AQ103" s="56"/>
      <c r="AR103" s="56"/>
      <c r="AS103" s="56"/>
      <c r="AT103" s="56"/>
      <c r="AU103" s="56"/>
      <c r="AV103" s="56"/>
      <c r="AW103" s="56"/>
      <c r="AX103" s="56"/>
      <c r="AY103" s="208"/>
      <c r="AZ103" s="211"/>
    </row>
    <row r="104" ht="18" customHeight="1" hidden="1">
      <c r="A104" s="302"/>
      <c r="B104" s="238"/>
      <c r="C104" s="56"/>
      <c r="D104" s="56"/>
      <c r="E104" s="56"/>
      <c r="F104" s="56"/>
      <c r="G104" s="56"/>
      <c r="H104" s="56"/>
      <c r="I104" s="56"/>
      <c r="J104" s="56"/>
      <c r="K104" s="56"/>
      <c r="L104" s="256"/>
      <c r="M104" s="256"/>
      <c r="N104" s="256"/>
      <c r="O104" s="256"/>
      <c r="P104" s="256"/>
      <c r="Q104" s="256"/>
      <c r="R104" s="256"/>
      <c r="S104" s="208"/>
      <c r="T104" s="256"/>
      <c r="U104" s="256"/>
      <c r="V104" s="256"/>
      <c r="W104" s="256"/>
      <c r="X104" s="237"/>
      <c r="Y104" s="256"/>
      <c r="Z104" s="256"/>
      <c r="AA104" s="256"/>
      <c r="AB104" s="256"/>
      <c r="AC104" s="256"/>
      <c r="AD104" s="256"/>
      <c r="AE104" s="256"/>
      <c r="AF104" s="256"/>
      <c r="AG104" s="256"/>
      <c r="AH104" s="256"/>
      <c r="AI104" s="256"/>
      <c r="AJ104" s="256"/>
      <c r="AK104" s="237"/>
      <c r="AL104" s="56"/>
      <c r="AM104" s="56"/>
      <c r="AN104" s="56"/>
      <c r="AO104" s="56"/>
      <c r="AP104" s="56"/>
      <c r="AQ104" s="56"/>
      <c r="AR104" s="56"/>
      <c r="AS104" s="56"/>
      <c r="AT104" s="56"/>
      <c r="AU104" s="56"/>
      <c r="AV104" s="56"/>
      <c r="AW104" s="56"/>
      <c r="AX104" s="56"/>
      <c r="AY104" s="208"/>
      <c r="AZ104" s="211"/>
    </row>
    <row r="105" ht="18" customHeight="1" hidden="1">
      <c r="A105" s="302"/>
      <c r="B105" s="238"/>
      <c r="C105" s="56"/>
      <c r="D105" s="56"/>
      <c r="E105" s="56"/>
      <c r="F105" s="56"/>
      <c r="G105" s="56"/>
      <c r="H105" s="56"/>
      <c r="I105" s="56"/>
      <c r="J105" s="56"/>
      <c r="K105" s="56"/>
      <c r="L105" s="256"/>
      <c r="M105" s="256"/>
      <c r="N105" s="256"/>
      <c r="O105" s="256"/>
      <c r="P105" s="256"/>
      <c r="Q105" s="256"/>
      <c r="R105" s="256"/>
      <c r="S105" s="208"/>
      <c r="T105" s="256"/>
      <c r="U105" s="256"/>
      <c r="V105" s="256"/>
      <c r="W105" s="256"/>
      <c r="X105" s="237"/>
      <c r="Y105" s="256"/>
      <c r="Z105" s="256"/>
      <c r="AA105" s="256"/>
      <c r="AB105" s="256"/>
      <c r="AC105" s="256"/>
      <c r="AD105" s="256"/>
      <c r="AE105" s="256"/>
      <c r="AF105" s="256"/>
      <c r="AG105" s="256"/>
      <c r="AH105" s="256"/>
      <c r="AI105" s="256"/>
      <c r="AJ105" s="256"/>
      <c r="AK105" s="237"/>
      <c r="AL105" s="56"/>
      <c r="AM105" s="56"/>
      <c r="AN105" s="56"/>
      <c r="AO105" s="56"/>
      <c r="AP105" s="56"/>
      <c r="AQ105" s="56"/>
      <c r="AR105" s="56"/>
      <c r="AS105" s="56"/>
      <c r="AT105" s="56"/>
      <c r="AU105" s="56"/>
      <c r="AV105" s="56"/>
      <c r="AW105" s="56"/>
      <c r="AX105" s="56"/>
      <c r="AY105" s="208"/>
      <c r="AZ105" s="211"/>
    </row>
    <row r="106" ht="18" customHeight="1" hidden="1">
      <c r="A106" s="302"/>
      <c r="B106" s="238"/>
      <c r="C106" s="56"/>
      <c r="D106" s="56"/>
      <c r="E106" s="56"/>
      <c r="F106" s="56"/>
      <c r="G106" s="56"/>
      <c r="H106" s="56"/>
      <c r="I106" s="56"/>
      <c r="J106" s="56"/>
      <c r="K106" s="56"/>
      <c r="L106" s="256"/>
      <c r="M106" s="256"/>
      <c r="N106" s="256"/>
      <c r="O106" s="256"/>
      <c r="P106" s="256"/>
      <c r="Q106" s="256"/>
      <c r="R106" s="256"/>
      <c r="S106" s="208"/>
      <c r="T106" s="256"/>
      <c r="U106" s="256"/>
      <c r="V106" s="256"/>
      <c r="W106" s="256"/>
      <c r="X106" s="237"/>
      <c r="Y106" s="256"/>
      <c r="Z106" s="256"/>
      <c r="AA106" s="256"/>
      <c r="AB106" s="256"/>
      <c r="AC106" s="256"/>
      <c r="AD106" s="256"/>
      <c r="AE106" s="256"/>
      <c r="AF106" s="256"/>
      <c r="AG106" s="256"/>
      <c r="AH106" s="256"/>
      <c r="AI106" s="256"/>
      <c r="AJ106" s="256"/>
      <c r="AK106" s="237"/>
      <c r="AL106" s="56"/>
      <c r="AM106" s="56"/>
      <c r="AN106" s="56"/>
      <c r="AO106" s="56"/>
      <c r="AP106" s="56"/>
      <c r="AQ106" s="56"/>
      <c r="AR106" s="56"/>
      <c r="AS106" s="56"/>
      <c r="AT106" s="56"/>
      <c r="AU106" s="56"/>
      <c r="AV106" s="56"/>
      <c r="AW106" s="56"/>
      <c r="AX106" s="56"/>
      <c r="AY106" s="208"/>
      <c r="AZ106" s="211"/>
    </row>
    <row r="107" ht="18" customHeight="1" hidden="1">
      <c r="A107" s="302"/>
      <c r="B107" s="238"/>
      <c r="C107" s="56"/>
      <c r="D107" s="56"/>
      <c r="E107" s="56"/>
      <c r="F107" s="56"/>
      <c r="G107" s="56"/>
      <c r="H107" s="56"/>
      <c r="I107" s="56"/>
      <c r="J107" s="56"/>
      <c r="K107" s="56"/>
      <c r="L107" s="256"/>
      <c r="M107" s="256"/>
      <c r="N107" s="256"/>
      <c r="O107" s="256"/>
      <c r="P107" s="256"/>
      <c r="Q107" s="256"/>
      <c r="R107" s="256"/>
      <c r="S107" s="208"/>
      <c r="T107" s="256"/>
      <c r="U107" s="256"/>
      <c r="V107" s="256"/>
      <c r="W107" s="256"/>
      <c r="X107" s="237"/>
      <c r="Y107" s="256"/>
      <c r="Z107" s="256"/>
      <c r="AA107" s="256"/>
      <c r="AB107" s="256"/>
      <c r="AC107" s="256"/>
      <c r="AD107" s="256"/>
      <c r="AE107" s="256"/>
      <c r="AF107" s="256"/>
      <c r="AG107" s="256"/>
      <c r="AH107" s="256"/>
      <c r="AI107" s="256"/>
      <c r="AJ107" s="256"/>
      <c r="AK107" s="237"/>
      <c r="AL107" s="56"/>
      <c r="AM107" s="56"/>
      <c r="AN107" s="56"/>
      <c r="AO107" s="56"/>
      <c r="AP107" s="56"/>
      <c r="AQ107" s="56"/>
      <c r="AR107" s="56"/>
      <c r="AS107" s="56"/>
      <c r="AT107" s="56"/>
      <c r="AU107" s="56"/>
      <c r="AV107" s="56"/>
      <c r="AW107" s="56"/>
      <c r="AX107" s="56"/>
      <c r="AY107" s="208"/>
      <c r="AZ107" s="211"/>
    </row>
    <row r="108" ht="18" customHeight="1" hidden="1">
      <c r="A108" s="302"/>
      <c r="B108" s="238"/>
      <c r="C108" s="56"/>
      <c r="D108" s="56"/>
      <c r="E108" s="56"/>
      <c r="F108" s="56"/>
      <c r="G108" s="56"/>
      <c r="H108" s="56"/>
      <c r="I108" s="56"/>
      <c r="J108" s="56"/>
      <c r="K108" s="56"/>
      <c r="L108" s="256"/>
      <c r="M108" s="256"/>
      <c r="N108" s="256"/>
      <c r="O108" s="256"/>
      <c r="P108" s="256"/>
      <c r="Q108" s="256"/>
      <c r="R108" s="256"/>
      <c r="S108" s="208"/>
      <c r="T108" s="256"/>
      <c r="U108" s="256"/>
      <c r="V108" s="256"/>
      <c r="W108" s="256"/>
      <c r="X108" s="237"/>
      <c r="Y108" s="256"/>
      <c r="Z108" s="256"/>
      <c r="AA108" s="256"/>
      <c r="AB108" s="256"/>
      <c r="AC108" s="256"/>
      <c r="AD108" s="256"/>
      <c r="AE108" s="256"/>
      <c r="AF108" s="256"/>
      <c r="AG108" s="256"/>
      <c r="AH108" s="256"/>
      <c r="AI108" s="256"/>
      <c r="AJ108" s="256"/>
      <c r="AK108" s="237"/>
      <c r="AL108" s="56"/>
      <c r="AM108" s="56"/>
      <c r="AN108" s="56"/>
      <c r="AO108" s="56"/>
      <c r="AP108" s="56"/>
      <c r="AQ108" s="56"/>
      <c r="AR108" s="56"/>
      <c r="AS108" s="56"/>
      <c r="AT108" s="56"/>
      <c r="AU108" s="56"/>
      <c r="AV108" s="56"/>
      <c r="AW108" s="56"/>
      <c r="AX108" s="56"/>
      <c r="AY108" s="208"/>
      <c r="AZ108" s="211"/>
    </row>
    <row r="109" ht="18" customHeight="1" hidden="1">
      <c r="A109" s="302"/>
      <c r="B109" s="238"/>
      <c r="C109" s="56"/>
      <c r="D109" s="56"/>
      <c r="E109" s="56"/>
      <c r="F109" s="56"/>
      <c r="G109" s="56"/>
      <c r="H109" s="56"/>
      <c r="I109" s="56"/>
      <c r="J109" s="56"/>
      <c r="K109" s="56"/>
      <c r="L109" s="256"/>
      <c r="M109" s="256"/>
      <c r="N109" s="256"/>
      <c r="O109" s="256"/>
      <c r="P109" s="256"/>
      <c r="Q109" s="256"/>
      <c r="R109" s="256"/>
      <c r="S109" s="208"/>
      <c r="T109" s="256"/>
      <c r="U109" s="256"/>
      <c r="V109" s="256"/>
      <c r="W109" s="256"/>
      <c r="X109" s="237"/>
      <c r="Y109" s="256"/>
      <c r="Z109" s="256"/>
      <c r="AA109" s="256"/>
      <c r="AB109" s="256"/>
      <c r="AC109" s="256"/>
      <c r="AD109" s="256"/>
      <c r="AE109" s="256"/>
      <c r="AF109" s="256"/>
      <c r="AG109" s="256"/>
      <c r="AH109" s="256"/>
      <c r="AI109" s="256"/>
      <c r="AJ109" s="256"/>
      <c r="AK109" s="237"/>
      <c r="AL109" s="56"/>
      <c r="AM109" s="56"/>
      <c r="AN109" s="56"/>
      <c r="AO109" s="56"/>
      <c r="AP109" s="56"/>
      <c r="AQ109" s="56"/>
      <c r="AR109" s="56"/>
      <c r="AS109" s="56"/>
      <c r="AT109" s="56"/>
      <c r="AU109" s="56"/>
      <c r="AV109" s="56"/>
      <c r="AW109" s="56"/>
      <c r="AX109" s="56"/>
      <c r="AY109" s="208"/>
      <c r="AZ109" s="211"/>
    </row>
    <row r="110" ht="18" customHeight="1" hidden="1">
      <c r="A110" s="302"/>
      <c r="B110" s="238"/>
      <c r="C110" s="56"/>
      <c r="D110" s="56"/>
      <c r="E110" s="56"/>
      <c r="F110" s="56"/>
      <c r="G110" s="56"/>
      <c r="H110" s="56"/>
      <c r="I110" s="56"/>
      <c r="J110" s="56"/>
      <c r="K110" s="56"/>
      <c r="L110" s="256"/>
      <c r="M110" s="256"/>
      <c r="N110" s="256"/>
      <c r="O110" s="256"/>
      <c r="P110" s="256"/>
      <c r="Q110" s="256"/>
      <c r="R110" s="256"/>
      <c r="S110" s="208"/>
      <c r="T110" s="256"/>
      <c r="U110" s="256"/>
      <c r="V110" s="256"/>
      <c r="W110" s="256"/>
      <c r="X110" s="237"/>
      <c r="Y110" s="256"/>
      <c r="Z110" s="256"/>
      <c r="AA110" s="256"/>
      <c r="AB110" s="256"/>
      <c r="AC110" s="256"/>
      <c r="AD110" s="256"/>
      <c r="AE110" s="256"/>
      <c r="AF110" s="256"/>
      <c r="AG110" s="256"/>
      <c r="AH110" s="256"/>
      <c r="AI110" s="256"/>
      <c r="AJ110" s="256"/>
      <c r="AK110" s="237"/>
      <c r="AL110" s="56"/>
      <c r="AM110" s="56"/>
      <c r="AN110" s="56"/>
      <c r="AO110" s="56"/>
      <c r="AP110" s="56"/>
      <c r="AQ110" s="56"/>
      <c r="AR110" s="56"/>
      <c r="AS110" s="56"/>
      <c r="AT110" s="56"/>
      <c r="AU110" s="56"/>
      <c r="AV110" s="56"/>
      <c r="AW110" s="56"/>
      <c r="AX110" s="56"/>
      <c r="AY110" s="208"/>
      <c r="AZ110" s="211"/>
    </row>
    <row r="111" ht="18" customHeight="1" hidden="1">
      <c r="A111" s="302"/>
      <c r="B111" s="238"/>
      <c r="C111" s="56"/>
      <c r="D111" s="56"/>
      <c r="E111" s="56"/>
      <c r="F111" s="56"/>
      <c r="G111" s="56"/>
      <c r="H111" s="56"/>
      <c r="I111" s="56"/>
      <c r="J111" s="56"/>
      <c r="K111" s="56"/>
      <c r="L111" s="256"/>
      <c r="M111" s="256"/>
      <c r="N111" s="256"/>
      <c r="O111" s="256"/>
      <c r="P111" s="256"/>
      <c r="Q111" s="256"/>
      <c r="R111" s="256"/>
      <c r="S111" s="208"/>
      <c r="T111" s="256"/>
      <c r="U111" s="256"/>
      <c r="V111" s="256"/>
      <c r="W111" s="256"/>
      <c r="X111" s="237"/>
      <c r="Y111" s="256"/>
      <c r="Z111" s="256"/>
      <c r="AA111" s="256"/>
      <c r="AB111" s="256"/>
      <c r="AC111" s="256"/>
      <c r="AD111" s="256"/>
      <c r="AE111" s="256"/>
      <c r="AF111" s="256"/>
      <c r="AG111" s="256"/>
      <c r="AH111" s="256"/>
      <c r="AI111" s="256"/>
      <c r="AJ111" s="256"/>
      <c r="AK111" s="237"/>
      <c r="AL111" s="56"/>
      <c r="AM111" s="56"/>
      <c r="AN111" s="56"/>
      <c r="AO111" s="56"/>
      <c r="AP111" s="56"/>
      <c r="AQ111" s="56"/>
      <c r="AR111" s="56"/>
      <c r="AS111" s="56"/>
      <c r="AT111" s="56"/>
      <c r="AU111" s="56"/>
      <c r="AV111" s="56"/>
      <c r="AW111" s="56"/>
      <c r="AX111" s="56"/>
      <c r="AY111" s="208"/>
      <c r="AZ111" s="211"/>
    </row>
    <row r="112" ht="18" customHeight="1" hidden="1">
      <c r="A112" s="302"/>
      <c r="B112" s="238"/>
      <c r="C112" s="56"/>
      <c r="D112" s="56"/>
      <c r="E112" s="56"/>
      <c r="F112" s="56"/>
      <c r="G112" s="56"/>
      <c r="H112" s="56"/>
      <c r="I112" s="56"/>
      <c r="J112" s="56"/>
      <c r="K112" s="56"/>
      <c r="L112" s="256"/>
      <c r="M112" s="256"/>
      <c r="N112" s="256"/>
      <c r="O112" s="256"/>
      <c r="P112" s="256"/>
      <c r="Q112" s="256"/>
      <c r="R112" s="256"/>
      <c r="S112" s="208"/>
      <c r="T112" s="256"/>
      <c r="U112" s="256"/>
      <c r="V112" s="256"/>
      <c r="W112" s="256"/>
      <c r="X112" s="237"/>
      <c r="Y112" s="256"/>
      <c r="Z112" s="256"/>
      <c r="AA112" s="256"/>
      <c r="AB112" s="256"/>
      <c r="AC112" s="256"/>
      <c r="AD112" s="256"/>
      <c r="AE112" s="256"/>
      <c r="AF112" s="256"/>
      <c r="AG112" s="256"/>
      <c r="AH112" s="256"/>
      <c r="AI112" s="256"/>
      <c r="AJ112" s="256"/>
      <c r="AK112" s="237"/>
      <c r="AL112" s="56"/>
      <c r="AM112" s="56"/>
      <c r="AN112" s="56"/>
      <c r="AO112" s="56"/>
      <c r="AP112" s="56"/>
      <c r="AQ112" s="56"/>
      <c r="AR112" s="56"/>
      <c r="AS112" s="56"/>
      <c r="AT112" s="56"/>
      <c r="AU112" s="56"/>
      <c r="AV112" s="56"/>
      <c r="AW112" s="56"/>
      <c r="AX112" s="56"/>
      <c r="AY112" s="208"/>
      <c r="AZ112" s="211"/>
    </row>
    <row r="113" ht="18" customHeight="1" hidden="1">
      <c r="A113" s="302"/>
      <c r="B113" s="238"/>
      <c r="C113" s="56"/>
      <c r="D113" s="56"/>
      <c r="E113" s="56"/>
      <c r="F113" s="56"/>
      <c r="G113" s="56"/>
      <c r="H113" s="56"/>
      <c r="I113" s="56"/>
      <c r="J113" s="56"/>
      <c r="K113" s="56"/>
      <c r="L113" s="256"/>
      <c r="M113" s="256"/>
      <c r="N113" s="256"/>
      <c r="O113" s="256"/>
      <c r="P113" s="256"/>
      <c r="Q113" s="256"/>
      <c r="R113" s="256"/>
      <c r="S113" s="208"/>
      <c r="T113" s="256"/>
      <c r="U113" s="256"/>
      <c r="V113" s="256"/>
      <c r="W113" s="256"/>
      <c r="X113" s="237"/>
      <c r="Y113" s="256"/>
      <c r="Z113" s="256"/>
      <c r="AA113" s="256"/>
      <c r="AB113" s="256"/>
      <c r="AC113" s="256"/>
      <c r="AD113" s="256"/>
      <c r="AE113" s="256"/>
      <c r="AF113" s="256"/>
      <c r="AG113" s="256"/>
      <c r="AH113" s="256"/>
      <c r="AI113" s="256"/>
      <c r="AJ113" s="256"/>
      <c r="AK113" s="237"/>
      <c r="AL113" s="56"/>
      <c r="AM113" s="56"/>
      <c r="AN113" s="56"/>
      <c r="AO113" s="56"/>
      <c r="AP113" s="56"/>
      <c r="AQ113" s="56"/>
      <c r="AR113" s="56"/>
      <c r="AS113" s="56"/>
      <c r="AT113" s="56"/>
      <c r="AU113" s="56"/>
      <c r="AV113" s="56"/>
      <c r="AW113" s="56"/>
      <c r="AX113" s="56"/>
      <c r="AY113" s="208"/>
      <c r="AZ113" s="211"/>
    </row>
    <row r="114" ht="18" customHeight="1" hidden="1">
      <c r="A114" s="302"/>
      <c r="B114" s="238"/>
      <c r="C114" s="56"/>
      <c r="D114" s="56"/>
      <c r="E114" s="56"/>
      <c r="F114" s="56"/>
      <c r="G114" s="56"/>
      <c r="H114" s="56"/>
      <c r="I114" s="56"/>
      <c r="J114" s="56"/>
      <c r="K114" s="56"/>
      <c r="L114" s="256"/>
      <c r="M114" s="256"/>
      <c r="N114" s="256"/>
      <c r="O114" s="256"/>
      <c r="P114" s="256"/>
      <c r="Q114" s="256"/>
      <c r="R114" s="256"/>
      <c r="S114" s="208"/>
      <c r="T114" s="256"/>
      <c r="U114" s="256"/>
      <c r="V114" s="256"/>
      <c r="W114" s="256"/>
      <c r="X114" s="237"/>
      <c r="Y114" s="256"/>
      <c r="Z114" s="256"/>
      <c r="AA114" s="256"/>
      <c r="AB114" s="256"/>
      <c r="AC114" s="256"/>
      <c r="AD114" s="256"/>
      <c r="AE114" s="256"/>
      <c r="AF114" s="256"/>
      <c r="AG114" s="256"/>
      <c r="AH114" s="256"/>
      <c r="AI114" s="256"/>
      <c r="AJ114" s="256"/>
      <c r="AK114" s="237"/>
      <c r="AL114" s="56"/>
      <c r="AM114" s="56"/>
      <c r="AN114" s="56"/>
      <c r="AO114" s="56"/>
      <c r="AP114" s="56"/>
      <c r="AQ114" s="56"/>
      <c r="AR114" s="56"/>
      <c r="AS114" s="56"/>
      <c r="AT114" s="56"/>
      <c r="AU114" s="56"/>
      <c r="AV114" s="56"/>
      <c r="AW114" s="56"/>
      <c r="AX114" s="56"/>
      <c r="AY114" s="208"/>
      <c r="AZ114" s="211"/>
    </row>
    <row r="115" ht="18" customHeight="1" hidden="1">
      <c r="A115" s="302"/>
      <c r="B115" s="238"/>
      <c r="C115" s="56"/>
      <c r="D115" s="56"/>
      <c r="E115" s="56"/>
      <c r="F115" s="56"/>
      <c r="G115" s="56"/>
      <c r="H115" s="56"/>
      <c r="I115" s="56"/>
      <c r="J115" s="56"/>
      <c r="K115" s="56"/>
      <c r="L115" s="256"/>
      <c r="M115" s="256"/>
      <c r="N115" s="256"/>
      <c r="O115" s="256"/>
      <c r="P115" s="256"/>
      <c r="Q115" s="256"/>
      <c r="R115" s="256"/>
      <c r="S115" s="208"/>
      <c r="T115" s="256"/>
      <c r="U115" s="256"/>
      <c r="V115" s="256"/>
      <c r="W115" s="256"/>
      <c r="X115" s="237"/>
      <c r="Y115" s="256"/>
      <c r="Z115" s="256"/>
      <c r="AA115" s="256"/>
      <c r="AB115" s="256"/>
      <c r="AC115" s="256"/>
      <c r="AD115" s="256"/>
      <c r="AE115" s="256"/>
      <c r="AF115" s="256"/>
      <c r="AG115" s="256"/>
      <c r="AH115" s="256"/>
      <c r="AI115" s="256"/>
      <c r="AJ115" s="256"/>
      <c r="AK115" s="237"/>
      <c r="AL115" s="56"/>
      <c r="AM115" s="56"/>
      <c r="AN115" s="56"/>
      <c r="AO115" s="56"/>
      <c r="AP115" s="56"/>
      <c r="AQ115" s="56"/>
      <c r="AR115" s="56"/>
      <c r="AS115" s="56"/>
      <c r="AT115" s="56"/>
      <c r="AU115" s="56"/>
      <c r="AV115" s="56"/>
      <c r="AW115" s="56"/>
      <c r="AX115" s="56"/>
      <c r="AY115" s="208"/>
      <c r="AZ115" s="211"/>
    </row>
    <row r="116" ht="18" customHeight="1" hidden="1">
      <c r="A116" s="302"/>
      <c r="B116" s="238"/>
      <c r="C116" s="56"/>
      <c r="D116" s="56"/>
      <c r="E116" s="56"/>
      <c r="F116" s="56"/>
      <c r="G116" s="56"/>
      <c r="H116" s="56"/>
      <c r="I116" s="56"/>
      <c r="J116" s="56"/>
      <c r="K116" s="56"/>
      <c r="L116" s="256"/>
      <c r="M116" s="256"/>
      <c r="N116" s="256"/>
      <c r="O116" s="256"/>
      <c r="P116" s="256"/>
      <c r="Q116" s="256"/>
      <c r="R116" s="256"/>
      <c r="S116" s="208"/>
      <c r="T116" s="256"/>
      <c r="U116" s="256"/>
      <c r="V116" s="256"/>
      <c r="W116" s="256"/>
      <c r="X116" s="237"/>
      <c r="Y116" s="256"/>
      <c r="Z116" s="256"/>
      <c r="AA116" s="256"/>
      <c r="AB116" s="256"/>
      <c r="AC116" s="256"/>
      <c r="AD116" s="256"/>
      <c r="AE116" s="256"/>
      <c r="AF116" s="256"/>
      <c r="AG116" s="256"/>
      <c r="AH116" s="256"/>
      <c r="AI116" s="256"/>
      <c r="AJ116" s="256"/>
      <c r="AK116" s="237"/>
      <c r="AL116" s="56"/>
      <c r="AM116" s="56"/>
      <c r="AN116" s="56"/>
      <c r="AO116" s="56"/>
      <c r="AP116" s="56"/>
      <c r="AQ116" s="56"/>
      <c r="AR116" s="56"/>
      <c r="AS116" s="56"/>
      <c r="AT116" s="56"/>
      <c r="AU116" s="56"/>
      <c r="AV116" s="56"/>
      <c r="AW116" s="56"/>
      <c r="AX116" s="56"/>
      <c r="AY116" s="208"/>
      <c r="AZ116" s="211"/>
    </row>
    <row r="117" ht="18" customHeight="1" hidden="1">
      <c r="A117" s="302"/>
      <c r="B117" s="238"/>
      <c r="C117" s="56"/>
      <c r="D117" s="56"/>
      <c r="E117" s="56"/>
      <c r="F117" s="56"/>
      <c r="G117" s="56"/>
      <c r="H117" s="56"/>
      <c r="I117" s="56"/>
      <c r="J117" s="56"/>
      <c r="K117" s="56"/>
      <c r="L117" s="256"/>
      <c r="M117" s="256"/>
      <c r="N117" s="256"/>
      <c r="O117" s="256"/>
      <c r="P117" s="256"/>
      <c r="Q117" s="256"/>
      <c r="R117" s="256"/>
      <c r="S117" s="208"/>
      <c r="T117" s="256"/>
      <c r="U117" s="256"/>
      <c r="V117" s="256"/>
      <c r="W117" s="256"/>
      <c r="X117" s="237"/>
      <c r="Y117" s="256"/>
      <c r="Z117" s="256"/>
      <c r="AA117" s="256"/>
      <c r="AB117" s="256"/>
      <c r="AC117" s="256"/>
      <c r="AD117" s="256"/>
      <c r="AE117" s="256"/>
      <c r="AF117" s="256"/>
      <c r="AG117" s="256"/>
      <c r="AH117" s="256"/>
      <c r="AI117" s="256"/>
      <c r="AJ117" s="256"/>
      <c r="AK117" s="237"/>
      <c r="AL117" s="56"/>
      <c r="AM117" s="56"/>
      <c r="AN117" s="56"/>
      <c r="AO117" s="56"/>
      <c r="AP117" s="56"/>
      <c r="AQ117" s="56"/>
      <c r="AR117" s="56"/>
      <c r="AS117" s="56"/>
      <c r="AT117" s="56"/>
      <c r="AU117" s="56"/>
      <c r="AV117" s="56"/>
      <c r="AW117" s="56"/>
      <c r="AX117" s="56"/>
      <c r="AY117" s="208"/>
      <c r="AZ117" s="211"/>
    </row>
    <row r="118" ht="18" customHeight="1" hidden="1">
      <c r="A118" s="302"/>
      <c r="B118" s="238"/>
      <c r="C118" s="56"/>
      <c r="D118" s="56"/>
      <c r="E118" s="56"/>
      <c r="F118" s="56"/>
      <c r="G118" s="56"/>
      <c r="H118" s="56"/>
      <c r="I118" s="56"/>
      <c r="J118" s="56"/>
      <c r="K118" s="56"/>
      <c r="L118" s="256"/>
      <c r="M118" s="256"/>
      <c r="N118" s="256"/>
      <c r="O118" s="256"/>
      <c r="P118" s="256"/>
      <c r="Q118" s="256"/>
      <c r="R118" s="256"/>
      <c r="S118" s="208"/>
      <c r="T118" s="256"/>
      <c r="U118" s="256"/>
      <c r="V118" s="256"/>
      <c r="W118" s="256"/>
      <c r="X118" s="237"/>
      <c r="Y118" s="256"/>
      <c r="Z118" s="256"/>
      <c r="AA118" s="256"/>
      <c r="AB118" s="256"/>
      <c r="AC118" s="256"/>
      <c r="AD118" s="256"/>
      <c r="AE118" s="256"/>
      <c r="AF118" s="256"/>
      <c r="AG118" s="256"/>
      <c r="AH118" s="256"/>
      <c r="AI118" s="256"/>
      <c r="AJ118" s="256"/>
      <c r="AK118" s="237"/>
      <c r="AL118" s="56"/>
      <c r="AM118" s="56"/>
      <c r="AN118" s="56"/>
      <c r="AO118" s="56"/>
      <c r="AP118" s="56"/>
      <c r="AQ118" s="56"/>
      <c r="AR118" s="56"/>
      <c r="AS118" s="56"/>
      <c r="AT118" s="56"/>
      <c r="AU118" s="56"/>
      <c r="AV118" s="56"/>
      <c r="AW118" s="56"/>
      <c r="AX118" s="56"/>
      <c r="AY118" s="208"/>
      <c r="AZ118" s="211"/>
    </row>
    <row r="119" ht="18" customHeight="1" hidden="1">
      <c r="A119" s="302"/>
      <c r="B119" s="238"/>
      <c r="C119" s="56"/>
      <c r="D119" s="56"/>
      <c r="E119" s="56"/>
      <c r="F119" s="56"/>
      <c r="G119" s="56"/>
      <c r="H119" s="56"/>
      <c r="I119" s="56"/>
      <c r="J119" s="56"/>
      <c r="K119" s="56"/>
      <c r="L119" s="256"/>
      <c r="M119" s="256"/>
      <c r="N119" s="256"/>
      <c r="O119" s="256"/>
      <c r="P119" s="256"/>
      <c r="Q119" s="256"/>
      <c r="R119" s="256"/>
      <c r="S119" s="208"/>
      <c r="T119" s="256"/>
      <c r="U119" s="256"/>
      <c r="V119" s="256"/>
      <c r="W119" s="256"/>
      <c r="X119" s="237"/>
      <c r="Y119" s="256"/>
      <c r="Z119" s="256"/>
      <c r="AA119" s="256"/>
      <c r="AB119" s="256"/>
      <c r="AC119" s="256"/>
      <c r="AD119" s="256"/>
      <c r="AE119" s="256"/>
      <c r="AF119" s="256"/>
      <c r="AG119" s="256"/>
      <c r="AH119" s="256"/>
      <c r="AI119" s="256"/>
      <c r="AJ119" s="256"/>
      <c r="AK119" s="237"/>
      <c r="AL119" s="56"/>
      <c r="AM119" s="56"/>
      <c r="AN119" s="56"/>
      <c r="AO119" s="56"/>
      <c r="AP119" s="56"/>
      <c r="AQ119" s="56"/>
      <c r="AR119" s="56"/>
      <c r="AS119" s="56"/>
      <c r="AT119" s="56"/>
      <c r="AU119" s="56"/>
      <c r="AV119" s="56"/>
      <c r="AW119" s="56"/>
      <c r="AX119" s="56"/>
      <c r="AY119" s="208"/>
      <c r="AZ119" s="211"/>
    </row>
    <row r="120" ht="18" customHeight="1" hidden="1">
      <c r="A120" s="302"/>
      <c r="B120" s="238"/>
      <c r="C120" s="56"/>
      <c r="D120" s="56"/>
      <c r="E120" s="56"/>
      <c r="F120" s="56"/>
      <c r="G120" s="56"/>
      <c r="H120" s="56"/>
      <c r="I120" s="56"/>
      <c r="J120" s="56"/>
      <c r="K120" s="56"/>
      <c r="L120" s="256"/>
      <c r="M120" s="256"/>
      <c r="N120" s="256"/>
      <c r="O120" s="256"/>
      <c r="P120" s="256"/>
      <c r="Q120" s="256"/>
      <c r="R120" s="256"/>
      <c r="S120" s="208"/>
      <c r="T120" s="256"/>
      <c r="U120" s="256"/>
      <c r="V120" s="256"/>
      <c r="W120" s="256"/>
      <c r="X120" s="237"/>
      <c r="Y120" s="256"/>
      <c r="Z120" s="256"/>
      <c r="AA120" s="256"/>
      <c r="AB120" s="256"/>
      <c r="AC120" s="256"/>
      <c r="AD120" s="256"/>
      <c r="AE120" s="256"/>
      <c r="AF120" s="256"/>
      <c r="AG120" s="256"/>
      <c r="AH120" s="256"/>
      <c r="AI120" s="256"/>
      <c r="AJ120" s="256"/>
      <c r="AK120" s="237"/>
      <c r="AL120" s="56"/>
      <c r="AM120" s="56"/>
      <c r="AN120" s="56"/>
      <c r="AO120" s="56"/>
      <c r="AP120" s="56"/>
      <c r="AQ120" s="56"/>
      <c r="AR120" s="56"/>
      <c r="AS120" s="56"/>
      <c r="AT120" s="56"/>
      <c r="AU120" s="56"/>
      <c r="AV120" s="56"/>
      <c r="AW120" s="56"/>
      <c r="AX120" s="56"/>
      <c r="AY120" s="208"/>
      <c r="AZ120" s="211"/>
    </row>
    <row r="121" ht="18" customHeight="1" hidden="1">
      <c r="A121" s="302"/>
      <c r="B121" s="238"/>
      <c r="C121" s="56"/>
      <c r="D121" s="56"/>
      <c r="E121" s="56"/>
      <c r="F121" s="56"/>
      <c r="G121" s="56"/>
      <c r="H121" s="56"/>
      <c r="I121" s="56"/>
      <c r="J121" s="56"/>
      <c r="K121" s="56"/>
      <c r="L121" s="256"/>
      <c r="M121" s="256"/>
      <c r="N121" s="256"/>
      <c r="O121" s="256"/>
      <c r="P121" s="256"/>
      <c r="Q121" s="256"/>
      <c r="R121" s="256"/>
      <c r="S121" s="208"/>
      <c r="T121" s="256"/>
      <c r="U121" s="256"/>
      <c r="V121" s="256"/>
      <c r="W121" s="256"/>
      <c r="X121" s="237"/>
      <c r="Y121" s="256"/>
      <c r="Z121" s="256"/>
      <c r="AA121" s="256"/>
      <c r="AB121" s="256"/>
      <c r="AC121" s="256"/>
      <c r="AD121" s="256"/>
      <c r="AE121" s="256"/>
      <c r="AF121" s="256"/>
      <c r="AG121" s="256"/>
      <c r="AH121" s="256"/>
      <c r="AI121" s="256"/>
      <c r="AJ121" s="256"/>
      <c r="AK121" s="237"/>
      <c r="AL121" s="56"/>
      <c r="AM121" s="56"/>
      <c r="AN121" s="56"/>
      <c r="AO121" s="56"/>
      <c r="AP121" s="56"/>
      <c r="AQ121" s="56"/>
      <c r="AR121" s="56"/>
      <c r="AS121" s="56"/>
      <c r="AT121" s="56"/>
      <c r="AU121" s="56"/>
      <c r="AV121" s="56"/>
      <c r="AW121" s="56"/>
      <c r="AX121" s="56"/>
      <c r="AY121" s="208"/>
      <c r="AZ121" s="211"/>
    </row>
    <row r="122" ht="18" customHeight="1" hidden="1">
      <c r="A122" s="302"/>
      <c r="B122" s="238"/>
      <c r="C122" s="56"/>
      <c r="D122" s="56"/>
      <c r="E122" s="56"/>
      <c r="F122" s="56"/>
      <c r="G122" s="56"/>
      <c r="H122" s="56"/>
      <c r="I122" s="56"/>
      <c r="J122" s="56"/>
      <c r="K122" s="56"/>
      <c r="L122" s="256"/>
      <c r="M122" s="256"/>
      <c r="N122" s="256"/>
      <c r="O122" s="256"/>
      <c r="P122" s="256"/>
      <c r="Q122" s="256"/>
      <c r="R122" s="256"/>
      <c r="S122" s="208"/>
      <c r="T122" s="256"/>
      <c r="U122" s="256"/>
      <c r="V122" s="256"/>
      <c r="W122" s="256"/>
      <c r="X122" s="237"/>
      <c r="Y122" s="256"/>
      <c r="Z122" s="256"/>
      <c r="AA122" s="256"/>
      <c r="AB122" s="256"/>
      <c r="AC122" s="256"/>
      <c r="AD122" s="256"/>
      <c r="AE122" s="256"/>
      <c r="AF122" s="256"/>
      <c r="AG122" s="256"/>
      <c r="AH122" s="256"/>
      <c r="AI122" s="256"/>
      <c r="AJ122" s="256"/>
      <c r="AK122" s="237"/>
      <c r="AL122" s="56"/>
      <c r="AM122" s="56"/>
      <c r="AN122" s="56"/>
      <c r="AO122" s="56"/>
      <c r="AP122" s="56"/>
      <c r="AQ122" s="56"/>
      <c r="AR122" s="56"/>
      <c r="AS122" s="56"/>
      <c r="AT122" s="56"/>
      <c r="AU122" s="56"/>
      <c r="AV122" s="56"/>
      <c r="AW122" s="56"/>
      <c r="AX122" s="56"/>
      <c r="AY122" s="208"/>
      <c r="AZ122" s="211"/>
    </row>
    <row r="123" ht="18" customHeight="1" hidden="1">
      <c r="A123" s="302"/>
      <c r="B123" s="238"/>
      <c r="C123" s="56"/>
      <c r="D123" s="56"/>
      <c r="E123" s="56"/>
      <c r="F123" s="56"/>
      <c r="G123" s="56"/>
      <c r="H123" s="56"/>
      <c r="I123" s="56"/>
      <c r="J123" s="56"/>
      <c r="K123" s="56"/>
      <c r="L123" s="256"/>
      <c r="M123" s="256"/>
      <c r="N123" s="256"/>
      <c r="O123" s="256"/>
      <c r="P123" s="256"/>
      <c r="Q123" s="256"/>
      <c r="R123" s="256"/>
      <c r="S123" s="208"/>
      <c r="T123" s="256"/>
      <c r="U123" s="256"/>
      <c r="V123" s="256"/>
      <c r="W123" s="256"/>
      <c r="X123" s="237"/>
      <c r="Y123" s="256"/>
      <c r="Z123" s="256"/>
      <c r="AA123" s="256"/>
      <c r="AB123" s="256"/>
      <c r="AC123" s="256"/>
      <c r="AD123" s="256"/>
      <c r="AE123" s="256"/>
      <c r="AF123" s="256"/>
      <c r="AG123" s="256"/>
      <c r="AH123" s="256"/>
      <c r="AI123" s="256"/>
      <c r="AJ123" s="256"/>
      <c r="AK123" s="237"/>
      <c r="AL123" s="56"/>
      <c r="AM123" s="56"/>
      <c r="AN123" s="56"/>
      <c r="AO123" s="56"/>
      <c r="AP123" s="56"/>
      <c r="AQ123" s="56"/>
      <c r="AR123" s="56"/>
      <c r="AS123" s="56"/>
      <c r="AT123" s="56"/>
      <c r="AU123" s="56"/>
      <c r="AV123" s="56"/>
      <c r="AW123" s="56"/>
      <c r="AX123" s="56"/>
      <c r="AY123" s="208"/>
      <c r="AZ123" s="211"/>
    </row>
    <row r="124" ht="18" customHeight="1" hidden="1">
      <c r="A124" s="302"/>
      <c r="B124" s="238"/>
      <c r="C124" s="56"/>
      <c r="D124" s="56"/>
      <c r="E124" s="56"/>
      <c r="F124" s="56"/>
      <c r="G124" s="56"/>
      <c r="H124" s="56"/>
      <c r="I124" s="56"/>
      <c r="J124" s="56"/>
      <c r="K124" s="56"/>
      <c r="L124" s="256"/>
      <c r="M124" s="256"/>
      <c r="N124" s="256"/>
      <c r="O124" s="256"/>
      <c r="P124" s="256"/>
      <c r="Q124" s="256"/>
      <c r="R124" s="256"/>
      <c r="S124" s="208"/>
      <c r="T124" s="256"/>
      <c r="U124" s="256"/>
      <c r="V124" s="256"/>
      <c r="W124" s="256"/>
      <c r="X124" s="237"/>
      <c r="Y124" s="256"/>
      <c r="Z124" s="256"/>
      <c r="AA124" s="256"/>
      <c r="AB124" s="256"/>
      <c r="AC124" s="256"/>
      <c r="AD124" s="256"/>
      <c r="AE124" s="256"/>
      <c r="AF124" s="256"/>
      <c r="AG124" s="256"/>
      <c r="AH124" s="256"/>
      <c r="AI124" s="256"/>
      <c r="AJ124" s="256"/>
      <c r="AK124" s="237"/>
      <c r="AL124" s="56"/>
      <c r="AM124" s="56"/>
      <c r="AN124" s="56"/>
      <c r="AO124" s="56"/>
      <c r="AP124" s="56"/>
      <c r="AQ124" s="56"/>
      <c r="AR124" s="56"/>
      <c r="AS124" s="56"/>
      <c r="AT124" s="56"/>
      <c r="AU124" s="56"/>
      <c r="AV124" s="56"/>
      <c r="AW124" s="56"/>
      <c r="AX124" s="56"/>
      <c r="AY124" s="208"/>
      <c r="AZ124" s="211"/>
    </row>
    <row r="125" ht="18" customHeight="1" hidden="1">
      <c r="A125" s="302"/>
      <c r="B125" s="238"/>
      <c r="C125" s="56"/>
      <c r="D125" s="56"/>
      <c r="E125" s="56"/>
      <c r="F125" s="56"/>
      <c r="G125" s="56"/>
      <c r="H125" s="56"/>
      <c r="I125" s="56"/>
      <c r="J125" s="56"/>
      <c r="K125" s="56"/>
      <c r="L125" s="256"/>
      <c r="M125" s="256"/>
      <c r="N125" s="256"/>
      <c r="O125" s="256"/>
      <c r="P125" s="256"/>
      <c r="Q125" s="256"/>
      <c r="R125" s="256"/>
      <c r="S125" s="208"/>
      <c r="T125" s="256"/>
      <c r="U125" s="256"/>
      <c r="V125" s="256"/>
      <c r="W125" s="256"/>
      <c r="X125" s="237"/>
      <c r="Y125" s="256"/>
      <c r="Z125" s="256"/>
      <c r="AA125" s="256"/>
      <c r="AB125" s="256"/>
      <c r="AC125" s="256"/>
      <c r="AD125" s="256"/>
      <c r="AE125" s="256"/>
      <c r="AF125" s="256"/>
      <c r="AG125" s="256"/>
      <c r="AH125" s="256"/>
      <c r="AI125" s="256"/>
      <c r="AJ125" s="256"/>
      <c r="AK125" s="237"/>
      <c r="AL125" s="56"/>
      <c r="AM125" s="56"/>
      <c r="AN125" s="56"/>
      <c r="AO125" s="56"/>
      <c r="AP125" s="56"/>
      <c r="AQ125" s="56"/>
      <c r="AR125" s="56"/>
      <c r="AS125" s="56"/>
      <c r="AT125" s="56"/>
      <c r="AU125" s="56"/>
      <c r="AV125" s="56"/>
      <c r="AW125" s="56"/>
      <c r="AX125" s="56"/>
      <c r="AY125" s="208"/>
      <c r="AZ125" s="211"/>
    </row>
    <row r="126" ht="18" customHeight="1" hidden="1">
      <c r="A126" s="302"/>
      <c r="B126" s="238"/>
      <c r="C126" s="56"/>
      <c r="D126" s="56"/>
      <c r="E126" s="56"/>
      <c r="F126" s="56"/>
      <c r="G126" s="56"/>
      <c r="H126" s="56"/>
      <c r="I126" s="56"/>
      <c r="J126" s="56"/>
      <c r="K126" s="56"/>
      <c r="L126" s="256"/>
      <c r="M126" s="256"/>
      <c r="N126" s="256"/>
      <c r="O126" s="256"/>
      <c r="P126" s="256"/>
      <c r="Q126" s="256"/>
      <c r="R126" s="256"/>
      <c r="S126" s="208"/>
      <c r="T126" s="256"/>
      <c r="U126" s="256"/>
      <c r="V126" s="256"/>
      <c r="W126" s="256"/>
      <c r="X126" s="237"/>
      <c r="Y126" s="256"/>
      <c r="Z126" s="256"/>
      <c r="AA126" s="256"/>
      <c r="AB126" s="256"/>
      <c r="AC126" s="256"/>
      <c r="AD126" s="256"/>
      <c r="AE126" s="256"/>
      <c r="AF126" s="256"/>
      <c r="AG126" s="256"/>
      <c r="AH126" s="256"/>
      <c r="AI126" s="256"/>
      <c r="AJ126" s="256"/>
      <c r="AK126" s="237"/>
      <c r="AL126" s="56"/>
      <c r="AM126" s="56"/>
      <c r="AN126" s="56"/>
      <c r="AO126" s="56"/>
      <c r="AP126" s="56"/>
      <c r="AQ126" s="56"/>
      <c r="AR126" s="56"/>
      <c r="AS126" s="56"/>
      <c r="AT126" s="56"/>
      <c r="AU126" s="56"/>
      <c r="AV126" s="56"/>
      <c r="AW126" s="56"/>
      <c r="AX126" s="56"/>
      <c r="AY126" s="208"/>
      <c r="AZ126" s="211"/>
    </row>
    <row r="127" ht="18" customHeight="1" hidden="1">
      <c r="A127" s="302"/>
      <c r="B127" s="238"/>
      <c r="C127" s="56"/>
      <c r="D127" s="56"/>
      <c r="E127" s="56"/>
      <c r="F127" s="56"/>
      <c r="G127" s="56"/>
      <c r="H127" s="56"/>
      <c r="I127" s="56"/>
      <c r="J127" s="56"/>
      <c r="K127" s="56"/>
      <c r="L127" s="256"/>
      <c r="M127" s="256"/>
      <c r="N127" s="256"/>
      <c r="O127" s="256"/>
      <c r="P127" s="256"/>
      <c r="Q127" s="256"/>
      <c r="R127" s="256"/>
      <c r="S127" s="208"/>
      <c r="T127" s="256"/>
      <c r="U127" s="256"/>
      <c r="V127" s="256"/>
      <c r="W127" s="256"/>
      <c r="X127" s="237"/>
      <c r="Y127" s="256"/>
      <c r="Z127" s="256"/>
      <c r="AA127" s="256"/>
      <c r="AB127" s="256"/>
      <c r="AC127" s="256"/>
      <c r="AD127" s="256"/>
      <c r="AE127" s="256"/>
      <c r="AF127" s="256"/>
      <c r="AG127" s="256"/>
      <c r="AH127" s="256"/>
      <c r="AI127" s="256"/>
      <c r="AJ127" s="256"/>
      <c r="AK127" s="237"/>
      <c r="AL127" s="56"/>
      <c r="AM127" s="56"/>
      <c r="AN127" s="56"/>
      <c r="AO127" s="56"/>
      <c r="AP127" s="56"/>
      <c r="AQ127" s="56"/>
      <c r="AR127" s="56"/>
      <c r="AS127" s="56"/>
      <c r="AT127" s="56"/>
      <c r="AU127" s="56"/>
      <c r="AV127" s="56"/>
      <c r="AW127" s="56"/>
      <c r="AX127" s="56"/>
      <c r="AY127" s="208"/>
      <c r="AZ127" s="211"/>
    </row>
    <row r="128" ht="18" customHeight="1" hidden="1">
      <c r="A128" s="302"/>
      <c r="B128" s="238"/>
      <c r="C128" s="56"/>
      <c r="D128" s="56"/>
      <c r="E128" s="56"/>
      <c r="F128" s="56"/>
      <c r="G128" s="56"/>
      <c r="H128" s="56"/>
      <c r="I128" s="56"/>
      <c r="J128" s="56"/>
      <c r="K128" s="56"/>
      <c r="L128" s="256"/>
      <c r="M128" s="256"/>
      <c r="N128" s="256"/>
      <c r="O128" s="256"/>
      <c r="P128" s="256"/>
      <c r="Q128" s="256"/>
      <c r="R128" s="256"/>
      <c r="S128" s="208"/>
      <c r="T128" s="256"/>
      <c r="U128" s="256"/>
      <c r="V128" s="256"/>
      <c r="W128" s="256"/>
      <c r="X128" s="237"/>
      <c r="Y128" s="256"/>
      <c r="Z128" s="256"/>
      <c r="AA128" s="256"/>
      <c r="AB128" s="256"/>
      <c r="AC128" s="256"/>
      <c r="AD128" s="256"/>
      <c r="AE128" s="256"/>
      <c r="AF128" s="256"/>
      <c r="AG128" s="256"/>
      <c r="AH128" s="256"/>
      <c r="AI128" s="256"/>
      <c r="AJ128" s="256"/>
      <c r="AK128" s="237"/>
      <c r="AL128" s="56"/>
      <c r="AM128" s="56"/>
      <c r="AN128" s="56"/>
      <c r="AO128" s="56"/>
      <c r="AP128" s="56"/>
      <c r="AQ128" s="56"/>
      <c r="AR128" s="56"/>
      <c r="AS128" s="56"/>
      <c r="AT128" s="56"/>
      <c r="AU128" s="56"/>
      <c r="AV128" s="56"/>
      <c r="AW128" s="56"/>
      <c r="AX128" s="56"/>
      <c r="AY128" s="208"/>
      <c r="AZ128" s="211"/>
    </row>
    <row r="129" ht="18" customHeight="1" hidden="1">
      <c r="A129" s="302"/>
      <c r="B129" s="238"/>
      <c r="C129" s="56"/>
      <c r="D129" s="56"/>
      <c r="E129" s="56"/>
      <c r="F129" s="56"/>
      <c r="G129" s="56"/>
      <c r="H129" s="56"/>
      <c r="I129" s="56"/>
      <c r="J129" s="56"/>
      <c r="K129" s="56"/>
      <c r="L129" s="256"/>
      <c r="M129" s="256"/>
      <c r="N129" s="256"/>
      <c r="O129" s="256"/>
      <c r="P129" s="256"/>
      <c r="Q129" s="256"/>
      <c r="R129" s="256"/>
      <c r="S129" s="208"/>
      <c r="T129" s="256"/>
      <c r="U129" s="256"/>
      <c r="V129" s="256"/>
      <c r="W129" s="256"/>
      <c r="X129" s="237"/>
      <c r="Y129" s="256"/>
      <c r="Z129" s="256"/>
      <c r="AA129" s="256"/>
      <c r="AB129" s="256"/>
      <c r="AC129" s="256"/>
      <c r="AD129" s="256"/>
      <c r="AE129" s="256"/>
      <c r="AF129" s="256"/>
      <c r="AG129" s="256"/>
      <c r="AH129" s="256"/>
      <c r="AI129" s="256"/>
      <c r="AJ129" s="256"/>
      <c r="AK129" s="237"/>
      <c r="AL129" s="56"/>
      <c r="AM129" s="56"/>
      <c r="AN129" s="56"/>
      <c r="AO129" s="56"/>
      <c r="AP129" s="56"/>
      <c r="AQ129" s="56"/>
      <c r="AR129" s="56"/>
      <c r="AS129" s="56"/>
      <c r="AT129" s="56"/>
      <c r="AU129" s="56"/>
      <c r="AV129" s="56"/>
      <c r="AW129" s="56"/>
      <c r="AX129" s="56"/>
      <c r="AY129" s="208"/>
      <c r="AZ129" s="211"/>
    </row>
    <row r="130" ht="18" customHeight="1" hidden="1">
      <c r="A130" s="302"/>
      <c r="B130" s="238"/>
      <c r="C130" s="56"/>
      <c r="D130" s="56"/>
      <c r="E130" s="56"/>
      <c r="F130" s="56"/>
      <c r="G130" s="56"/>
      <c r="H130" s="56"/>
      <c r="I130" s="56"/>
      <c r="J130" s="56"/>
      <c r="K130" s="56"/>
      <c r="L130" s="256"/>
      <c r="M130" s="256"/>
      <c r="N130" s="256"/>
      <c r="O130" s="256"/>
      <c r="P130" s="256"/>
      <c r="Q130" s="256"/>
      <c r="R130" s="256"/>
      <c r="S130" s="208"/>
      <c r="T130" s="256"/>
      <c r="U130" s="256"/>
      <c r="V130" s="256"/>
      <c r="W130" s="256"/>
      <c r="X130" s="237"/>
      <c r="Y130" s="256"/>
      <c r="Z130" s="256"/>
      <c r="AA130" s="256"/>
      <c r="AB130" s="256"/>
      <c r="AC130" s="256"/>
      <c r="AD130" s="256"/>
      <c r="AE130" s="256"/>
      <c r="AF130" s="256"/>
      <c r="AG130" s="256"/>
      <c r="AH130" s="256"/>
      <c r="AI130" s="256"/>
      <c r="AJ130" s="256"/>
      <c r="AK130" s="237"/>
      <c r="AL130" s="56"/>
      <c r="AM130" s="56"/>
      <c r="AN130" s="56"/>
      <c r="AO130" s="56"/>
      <c r="AP130" s="56"/>
      <c r="AQ130" s="56"/>
      <c r="AR130" s="56"/>
      <c r="AS130" s="56"/>
      <c r="AT130" s="56"/>
      <c r="AU130" s="56"/>
      <c r="AV130" s="56"/>
      <c r="AW130" s="56"/>
      <c r="AX130" s="56"/>
      <c r="AY130" s="208"/>
      <c r="AZ130" s="211"/>
    </row>
    <row r="131" ht="18" customHeight="1" hidden="1">
      <c r="A131" s="302"/>
      <c r="B131" s="238"/>
      <c r="C131" s="56"/>
      <c r="D131" s="56"/>
      <c r="E131" s="56"/>
      <c r="F131" s="56"/>
      <c r="G131" s="56"/>
      <c r="H131" s="56"/>
      <c r="I131" s="56"/>
      <c r="J131" s="56"/>
      <c r="K131" s="56"/>
      <c r="L131" s="256"/>
      <c r="M131" s="256"/>
      <c r="N131" s="256"/>
      <c r="O131" s="256"/>
      <c r="P131" s="256"/>
      <c r="Q131" s="256"/>
      <c r="R131" s="256"/>
      <c r="S131" s="208"/>
      <c r="T131" s="256"/>
      <c r="U131" s="256"/>
      <c r="V131" s="256"/>
      <c r="W131" s="256"/>
      <c r="X131" s="237"/>
      <c r="Y131" s="256"/>
      <c r="Z131" s="256"/>
      <c r="AA131" s="256"/>
      <c r="AB131" s="256"/>
      <c r="AC131" s="256"/>
      <c r="AD131" s="256"/>
      <c r="AE131" s="256"/>
      <c r="AF131" s="256"/>
      <c r="AG131" s="256"/>
      <c r="AH131" s="256"/>
      <c r="AI131" s="256"/>
      <c r="AJ131" s="256"/>
      <c r="AK131" s="237"/>
      <c r="AL131" s="56"/>
      <c r="AM131" s="56"/>
      <c r="AN131" s="56"/>
      <c r="AO131" s="56"/>
      <c r="AP131" s="56"/>
      <c r="AQ131" s="56"/>
      <c r="AR131" s="56"/>
      <c r="AS131" s="56"/>
      <c r="AT131" s="56"/>
      <c r="AU131" s="56"/>
      <c r="AV131" s="56"/>
      <c r="AW131" s="56"/>
      <c r="AX131" s="56"/>
      <c r="AY131" s="208"/>
      <c r="AZ131" s="211"/>
    </row>
    <row r="132" ht="18" customHeight="1" hidden="1">
      <c r="A132" s="302"/>
      <c r="B132" s="238"/>
      <c r="C132" s="56"/>
      <c r="D132" s="56"/>
      <c r="E132" s="56"/>
      <c r="F132" s="56"/>
      <c r="G132" s="56"/>
      <c r="H132" s="56"/>
      <c r="I132" s="56"/>
      <c r="J132" s="56"/>
      <c r="K132" s="56"/>
      <c r="L132" s="256"/>
      <c r="M132" s="256"/>
      <c r="N132" s="256"/>
      <c r="O132" s="256"/>
      <c r="P132" s="256"/>
      <c r="Q132" s="256"/>
      <c r="R132" s="256"/>
      <c r="S132" s="208"/>
      <c r="T132" s="256"/>
      <c r="U132" s="256"/>
      <c r="V132" s="256"/>
      <c r="W132" s="256"/>
      <c r="X132" s="237"/>
      <c r="Y132" s="256"/>
      <c r="Z132" s="256"/>
      <c r="AA132" s="256"/>
      <c r="AB132" s="256"/>
      <c r="AC132" s="256"/>
      <c r="AD132" s="256"/>
      <c r="AE132" s="256"/>
      <c r="AF132" s="256"/>
      <c r="AG132" s="256"/>
      <c r="AH132" s="256"/>
      <c r="AI132" s="256"/>
      <c r="AJ132" s="256"/>
      <c r="AK132" s="237"/>
      <c r="AL132" s="56"/>
      <c r="AM132" s="56"/>
      <c r="AN132" s="56"/>
      <c r="AO132" s="56"/>
      <c r="AP132" s="56"/>
      <c r="AQ132" s="56"/>
      <c r="AR132" s="56"/>
      <c r="AS132" s="56"/>
      <c r="AT132" s="56"/>
      <c r="AU132" s="56"/>
      <c r="AV132" s="56"/>
      <c r="AW132" s="56"/>
      <c r="AX132" s="56"/>
      <c r="AY132" s="208"/>
      <c r="AZ132" s="211"/>
    </row>
    <row r="133" ht="18" customHeight="1" hidden="1">
      <c r="A133" s="302"/>
      <c r="B133" s="238"/>
      <c r="C133" s="56"/>
      <c r="D133" s="56"/>
      <c r="E133" s="56"/>
      <c r="F133" s="56"/>
      <c r="G133" s="56"/>
      <c r="H133" s="56"/>
      <c r="I133" s="56"/>
      <c r="J133" s="56"/>
      <c r="K133" s="56"/>
      <c r="L133" s="256"/>
      <c r="M133" s="256"/>
      <c r="N133" s="256"/>
      <c r="O133" s="256"/>
      <c r="P133" s="256"/>
      <c r="Q133" s="256"/>
      <c r="R133" s="256"/>
      <c r="S133" s="208"/>
      <c r="T133" s="256"/>
      <c r="U133" s="256"/>
      <c r="V133" s="256"/>
      <c r="W133" s="256"/>
      <c r="X133" s="237"/>
      <c r="Y133" s="256"/>
      <c r="Z133" s="256"/>
      <c r="AA133" s="256"/>
      <c r="AB133" s="256"/>
      <c r="AC133" s="256"/>
      <c r="AD133" s="256"/>
      <c r="AE133" s="256"/>
      <c r="AF133" s="256"/>
      <c r="AG133" s="256"/>
      <c r="AH133" s="256"/>
      <c r="AI133" s="256"/>
      <c r="AJ133" s="256"/>
      <c r="AK133" s="237"/>
      <c r="AL133" s="56"/>
      <c r="AM133" s="56"/>
      <c r="AN133" s="56"/>
      <c r="AO133" s="56"/>
      <c r="AP133" s="56"/>
      <c r="AQ133" s="56"/>
      <c r="AR133" s="56"/>
      <c r="AS133" s="56"/>
      <c r="AT133" s="56"/>
      <c r="AU133" s="56"/>
      <c r="AV133" s="56"/>
      <c r="AW133" s="56"/>
      <c r="AX133" s="56"/>
      <c r="AY133" s="208"/>
      <c r="AZ133" s="211"/>
    </row>
    <row r="134" ht="18" customHeight="1" hidden="1">
      <c r="A134" s="302"/>
      <c r="B134" s="238"/>
      <c r="C134" s="56"/>
      <c r="D134" s="56"/>
      <c r="E134" s="56"/>
      <c r="F134" s="56"/>
      <c r="G134" s="56"/>
      <c r="H134" s="56"/>
      <c r="I134" s="56"/>
      <c r="J134" s="56"/>
      <c r="K134" s="56"/>
      <c r="L134" s="256"/>
      <c r="M134" s="256"/>
      <c r="N134" s="256"/>
      <c r="O134" s="256"/>
      <c r="P134" s="256"/>
      <c r="Q134" s="256"/>
      <c r="R134" s="256"/>
      <c r="S134" s="208"/>
      <c r="T134" s="256"/>
      <c r="U134" s="256"/>
      <c r="V134" s="256"/>
      <c r="W134" s="256"/>
      <c r="X134" s="237"/>
      <c r="Y134" s="256"/>
      <c r="Z134" s="256"/>
      <c r="AA134" s="256"/>
      <c r="AB134" s="256"/>
      <c r="AC134" s="256"/>
      <c r="AD134" s="256"/>
      <c r="AE134" s="256"/>
      <c r="AF134" s="256"/>
      <c r="AG134" s="256"/>
      <c r="AH134" s="256"/>
      <c r="AI134" s="256"/>
      <c r="AJ134" s="256"/>
      <c r="AK134" s="237"/>
      <c r="AL134" s="56"/>
      <c r="AM134" s="56"/>
      <c r="AN134" s="56"/>
      <c r="AO134" s="56"/>
      <c r="AP134" s="56"/>
      <c r="AQ134" s="56"/>
      <c r="AR134" s="56"/>
      <c r="AS134" s="56"/>
      <c r="AT134" s="56"/>
      <c r="AU134" s="56"/>
      <c r="AV134" s="56"/>
      <c r="AW134" s="56"/>
      <c r="AX134" s="56"/>
      <c r="AY134" s="208"/>
      <c r="AZ134" s="211"/>
    </row>
    <row r="135" ht="18" customHeight="1" hidden="1">
      <c r="A135" s="302"/>
      <c r="B135" s="238"/>
      <c r="C135" s="56"/>
      <c r="D135" s="56"/>
      <c r="E135" s="56"/>
      <c r="F135" s="56"/>
      <c r="G135" s="56"/>
      <c r="H135" s="56"/>
      <c r="I135" s="56"/>
      <c r="J135" s="56"/>
      <c r="K135" s="56"/>
      <c r="L135" s="256"/>
      <c r="M135" s="256"/>
      <c r="N135" s="256"/>
      <c r="O135" s="256"/>
      <c r="P135" s="256"/>
      <c r="Q135" s="256"/>
      <c r="R135" s="256"/>
      <c r="S135" s="208"/>
      <c r="T135" s="256"/>
      <c r="U135" s="256"/>
      <c r="V135" s="256"/>
      <c r="W135" s="256"/>
      <c r="X135" s="237"/>
      <c r="Y135" s="256"/>
      <c r="Z135" s="256"/>
      <c r="AA135" s="256"/>
      <c r="AB135" s="256"/>
      <c r="AC135" s="256"/>
      <c r="AD135" s="256"/>
      <c r="AE135" s="256"/>
      <c r="AF135" s="256"/>
      <c r="AG135" s="256"/>
      <c r="AH135" s="256"/>
      <c r="AI135" s="256"/>
      <c r="AJ135" s="256"/>
      <c r="AK135" s="237"/>
      <c r="AL135" s="56"/>
      <c r="AM135" s="56"/>
      <c r="AN135" s="56"/>
      <c r="AO135" s="56"/>
      <c r="AP135" s="56"/>
      <c r="AQ135" s="56"/>
      <c r="AR135" s="56"/>
      <c r="AS135" s="56"/>
      <c r="AT135" s="56"/>
      <c r="AU135" s="56"/>
      <c r="AV135" s="56"/>
      <c r="AW135" s="56"/>
      <c r="AX135" s="56"/>
      <c r="AY135" s="208"/>
      <c r="AZ135" s="211"/>
    </row>
    <row r="136" ht="18" customHeight="1" hidden="1">
      <c r="A136" s="302"/>
      <c r="B136" s="238"/>
      <c r="C136" s="56"/>
      <c r="D136" s="56"/>
      <c r="E136" s="56"/>
      <c r="F136" s="56"/>
      <c r="G136" s="56"/>
      <c r="H136" s="56"/>
      <c r="I136" s="56"/>
      <c r="J136" s="56"/>
      <c r="K136" s="56"/>
      <c r="L136" s="256"/>
      <c r="M136" s="256"/>
      <c r="N136" s="256"/>
      <c r="O136" s="256"/>
      <c r="P136" s="256"/>
      <c r="Q136" s="256"/>
      <c r="R136" s="256"/>
      <c r="S136" s="208"/>
      <c r="T136" s="256"/>
      <c r="U136" s="256"/>
      <c r="V136" s="256"/>
      <c r="W136" s="256"/>
      <c r="X136" s="237"/>
      <c r="Y136" s="256"/>
      <c r="Z136" s="256"/>
      <c r="AA136" s="256"/>
      <c r="AB136" s="256"/>
      <c r="AC136" s="256"/>
      <c r="AD136" s="256"/>
      <c r="AE136" s="256"/>
      <c r="AF136" s="256"/>
      <c r="AG136" s="256"/>
      <c r="AH136" s="256"/>
      <c r="AI136" s="256"/>
      <c r="AJ136" s="256"/>
      <c r="AK136" s="237"/>
      <c r="AL136" s="56"/>
      <c r="AM136" s="56"/>
      <c r="AN136" s="56"/>
      <c r="AO136" s="56"/>
      <c r="AP136" s="56"/>
      <c r="AQ136" s="56"/>
      <c r="AR136" s="56"/>
      <c r="AS136" s="56"/>
      <c r="AT136" s="56"/>
      <c r="AU136" s="56"/>
      <c r="AV136" s="56"/>
      <c r="AW136" s="56"/>
      <c r="AX136" s="56"/>
      <c r="AY136" s="208"/>
      <c r="AZ136" s="211"/>
    </row>
    <row r="137" ht="18" customHeight="1" hidden="1">
      <c r="A137" s="207"/>
      <c r="B137" s="208"/>
      <c r="C137" s="56"/>
      <c r="D137" s="56"/>
      <c r="E137" s="56"/>
      <c r="F137" s="56"/>
      <c r="G137" s="56"/>
      <c r="H137" s="56"/>
      <c r="I137" s="56"/>
      <c r="J137" s="56"/>
      <c r="K137" s="56"/>
      <c r="L137" s="256"/>
      <c r="M137" s="256"/>
      <c r="N137" s="256"/>
      <c r="O137" s="256"/>
      <c r="P137" s="256"/>
      <c r="Q137" s="256"/>
      <c r="R137" s="256"/>
      <c r="S137" s="208"/>
      <c r="T137" s="256"/>
      <c r="U137" s="256"/>
      <c r="V137" s="256"/>
      <c r="W137" s="256"/>
      <c r="X137" s="237"/>
      <c r="Y137" s="256"/>
      <c r="Z137" s="256"/>
      <c r="AA137" s="256"/>
      <c r="AB137" s="256"/>
      <c r="AC137" s="256"/>
      <c r="AD137" s="256"/>
      <c r="AE137" s="256"/>
      <c r="AF137" s="256"/>
      <c r="AG137" s="256"/>
      <c r="AH137" s="256"/>
      <c r="AI137" s="256"/>
      <c r="AJ137" s="256"/>
      <c r="AK137" s="237"/>
      <c r="AL137" s="56"/>
      <c r="AM137" s="56"/>
      <c r="AN137" s="56"/>
      <c r="AO137" s="56"/>
      <c r="AP137" s="56"/>
      <c r="AQ137" s="56"/>
      <c r="AR137" s="56"/>
      <c r="AS137" s="56"/>
      <c r="AT137" s="56"/>
      <c r="AU137" s="56"/>
      <c r="AV137" s="56"/>
      <c r="AW137" s="56"/>
      <c r="AX137" s="56"/>
      <c r="AY137" s="208"/>
      <c r="AZ137" s="211"/>
    </row>
    <row r="138" ht="18" customHeight="1" hidden="1">
      <c r="A138" s="207"/>
      <c r="B138" s="208"/>
      <c r="C138" s="56"/>
      <c r="D138" s="56"/>
      <c r="E138" s="56"/>
      <c r="F138" s="56"/>
      <c r="G138" s="56"/>
      <c r="H138" s="56"/>
      <c r="I138" s="56"/>
      <c r="J138" s="56"/>
      <c r="K138" s="56"/>
      <c r="L138" s="256"/>
      <c r="M138" s="256"/>
      <c r="N138" s="256"/>
      <c r="O138" s="256"/>
      <c r="P138" s="256"/>
      <c r="Q138" s="256"/>
      <c r="R138" s="256"/>
      <c r="S138" s="208"/>
      <c r="T138" s="256"/>
      <c r="U138" s="256"/>
      <c r="V138" s="256"/>
      <c r="W138" s="256"/>
      <c r="X138" s="237"/>
      <c r="Y138" s="256"/>
      <c r="Z138" s="256"/>
      <c r="AA138" s="256"/>
      <c r="AB138" s="256"/>
      <c r="AC138" s="256"/>
      <c r="AD138" s="256"/>
      <c r="AE138" s="256"/>
      <c r="AF138" s="256"/>
      <c r="AG138" s="256"/>
      <c r="AH138" s="256"/>
      <c r="AI138" s="256"/>
      <c r="AJ138" s="256"/>
      <c r="AK138" s="237"/>
      <c r="AL138" s="56"/>
      <c r="AM138" s="56"/>
      <c r="AN138" s="56"/>
      <c r="AO138" s="56"/>
      <c r="AP138" s="56"/>
      <c r="AQ138" s="56"/>
      <c r="AR138" s="56"/>
      <c r="AS138" s="56"/>
      <c r="AT138" s="56"/>
      <c r="AU138" s="56"/>
      <c r="AV138" s="56"/>
      <c r="AW138" s="56"/>
      <c r="AX138" s="56"/>
      <c r="AY138" s="208"/>
      <c r="AZ138" s="211"/>
    </row>
    <row r="139" ht="18" customHeight="1" hidden="1">
      <c r="A139" s="207"/>
      <c r="B139" s="208"/>
      <c r="C139" s="56"/>
      <c r="D139" s="56"/>
      <c r="E139" s="56"/>
      <c r="F139" s="56"/>
      <c r="G139" s="56"/>
      <c r="H139" s="56"/>
      <c r="I139" s="56"/>
      <c r="J139" s="56"/>
      <c r="K139" s="56"/>
      <c r="L139" s="256"/>
      <c r="M139" s="256"/>
      <c r="N139" s="256"/>
      <c r="O139" s="256"/>
      <c r="P139" s="256"/>
      <c r="Q139" s="256"/>
      <c r="R139" s="256"/>
      <c r="S139" s="208"/>
      <c r="T139" s="256"/>
      <c r="U139" s="256"/>
      <c r="V139" s="256"/>
      <c r="W139" s="256"/>
      <c r="X139" s="237"/>
      <c r="Y139" s="256"/>
      <c r="Z139" s="256"/>
      <c r="AA139" s="256"/>
      <c r="AB139" s="256"/>
      <c r="AC139" s="256"/>
      <c r="AD139" s="256"/>
      <c r="AE139" s="256"/>
      <c r="AF139" s="256"/>
      <c r="AG139" s="256"/>
      <c r="AH139" s="256"/>
      <c r="AI139" s="256"/>
      <c r="AJ139" s="256"/>
      <c r="AK139" s="237"/>
      <c r="AL139" s="56"/>
      <c r="AM139" s="56"/>
      <c r="AN139" s="56"/>
      <c r="AO139" s="56"/>
      <c r="AP139" s="56"/>
      <c r="AQ139" s="56"/>
      <c r="AR139" s="56"/>
      <c r="AS139" s="56"/>
      <c r="AT139" s="56"/>
      <c r="AU139" s="56"/>
      <c r="AV139" s="56"/>
      <c r="AW139" s="56"/>
      <c r="AX139" s="56"/>
      <c r="AY139" s="208"/>
      <c r="AZ139" s="211"/>
    </row>
    <row r="140" ht="18" customHeight="1" hidden="1">
      <c r="A140" s="207"/>
      <c r="B140" s="208"/>
      <c r="C140" s="56"/>
      <c r="D140" s="56"/>
      <c r="E140" s="56"/>
      <c r="F140" s="56"/>
      <c r="G140" s="56"/>
      <c r="H140" s="56"/>
      <c r="I140" s="56"/>
      <c r="J140" s="56"/>
      <c r="K140" s="56"/>
      <c r="L140" s="256"/>
      <c r="M140" s="256"/>
      <c r="N140" s="256"/>
      <c r="O140" s="256"/>
      <c r="P140" s="256"/>
      <c r="Q140" s="256"/>
      <c r="R140" s="256"/>
      <c r="S140" s="208"/>
      <c r="T140" s="256"/>
      <c r="U140" s="256"/>
      <c r="V140" s="256"/>
      <c r="W140" s="256"/>
      <c r="X140" s="237"/>
      <c r="Y140" s="256"/>
      <c r="Z140" s="256"/>
      <c r="AA140" s="256"/>
      <c r="AB140" s="256"/>
      <c r="AC140" s="256"/>
      <c r="AD140" s="256"/>
      <c r="AE140" s="256"/>
      <c r="AF140" s="256"/>
      <c r="AG140" s="256"/>
      <c r="AH140" s="256"/>
      <c r="AI140" s="256"/>
      <c r="AJ140" s="256"/>
      <c r="AK140" s="237"/>
      <c r="AL140" s="56"/>
      <c r="AM140" s="56"/>
      <c r="AN140" s="56"/>
      <c r="AO140" s="56"/>
      <c r="AP140" s="56"/>
      <c r="AQ140" s="56"/>
      <c r="AR140" s="56"/>
      <c r="AS140" s="56"/>
      <c r="AT140" s="56"/>
      <c r="AU140" s="56"/>
      <c r="AV140" s="56"/>
      <c r="AW140" s="56"/>
      <c r="AX140" s="56"/>
      <c r="AY140" s="208"/>
      <c r="AZ140" s="211"/>
    </row>
    <row r="141" ht="18" customHeight="1" hidden="1">
      <c r="A141" s="207"/>
      <c r="B141" s="208"/>
      <c r="C141" s="56"/>
      <c r="D141" s="56"/>
      <c r="E141" s="56"/>
      <c r="F141" s="56"/>
      <c r="G141" s="56"/>
      <c r="H141" s="56"/>
      <c r="I141" s="56"/>
      <c r="J141" s="56"/>
      <c r="K141" s="56"/>
      <c r="L141" s="256"/>
      <c r="M141" s="256"/>
      <c r="N141" s="256"/>
      <c r="O141" s="256"/>
      <c r="P141" s="256"/>
      <c r="Q141" s="256"/>
      <c r="R141" s="256"/>
      <c r="S141" s="208"/>
      <c r="T141" s="256"/>
      <c r="U141" s="256"/>
      <c r="V141" s="256"/>
      <c r="W141" s="256"/>
      <c r="X141" s="237"/>
      <c r="Y141" s="256"/>
      <c r="Z141" s="256"/>
      <c r="AA141" s="256"/>
      <c r="AB141" s="256"/>
      <c r="AC141" s="256"/>
      <c r="AD141" s="256"/>
      <c r="AE141" s="256"/>
      <c r="AF141" s="256"/>
      <c r="AG141" s="256"/>
      <c r="AH141" s="256"/>
      <c r="AI141" s="256"/>
      <c r="AJ141" s="256"/>
      <c r="AK141" s="237"/>
      <c r="AL141" s="56"/>
      <c r="AM141" s="56"/>
      <c r="AN141" s="56"/>
      <c r="AO141" s="56"/>
      <c r="AP141" s="56"/>
      <c r="AQ141" s="56"/>
      <c r="AR141" s="56"/>
      <c r="AS141" s="56"/>
      <c r="AT141" s="56"/>
      <c r="AU141" s="56"/>
      <c r="AV141" s="56"/>
      <c r="AW141" s="56"/>
      <c r="AX141" s="56"/>
      <c r="AY141" s="208"/>
      <c r="AZ141" s="211"/>
    </row>
    <row r="142" ht="18" customHeight="1" hidden="1">
      <c r="A142" s="207"/>
      <c r="B142" s="208"/>
      <c r="C142" s="56"/>
      <c r="D142" s="56"/>
      <c r="E142" s="56"/>
      <c r="F142" s="56"/>
      <c r="G142" s="56"/>
      <c r="H142" s="56"/>
      <c r="I142" s="56"/>
      <c r="J142" s="56"/>
      <c r="K142" s="56"/>
      <c r="L142" s="256"/>
      <c r="M142" s="256"/>
      <c r="N142" s="256"/>
      <c r="O142" s="256"/>
      <c r="P142" s="256"/>
      <c r="Q142" s="256"/>
      <c r="R142" s="256"/>
      <c r="S142" s="208"/>
      <c r="T142" s="256"/>
      <c r="U142" s="256"/>
      <c r="V142" s="256"/>
      <c r="W142" s="256"/>
      <c r="X142" s="237"/>
      <c r="Y142" s="256"/>
      <c r="Z142" s="256"/>
      <c r="AA142" s="256"/>
      <c r="AB142" s="256"/>
      <c r="AC142" s="256"/>
      <c r="AD142" s="256"/>
      <c r="AE142" s="256"/>
      <c r="AF142" s="256"/>
      <c r="AG142" s="256"/>
      <c r="AH142" s="256"/>
      <c r="AI142" s="256"/>
      <c r="AJ142" s="256"/>
      <c r="AK142" s="237"/>
      <c r="AL142" s="56"/>
      <c r="AM142" s="56"/>
      <c r="AN142" s="56"/>
      <c r="AO142" s="56"/>
      <c r="AP142" s="56"/>
      <c r="AQ142" s="56"/>
      <c r="AR142" s="56"/>
      <c r="AS142" s="56"/>
      <c r="AT142" s="56"/>
      <c r="AU142" s="56"/>
      <c r="AV142" s="56"/>
      <c r="AW142" s="56"/>
      <c r="AX142" s="56"/>
      <c r="AY142" s="208"/>
      <c r="AZ142" s="211"/>
    </row>
    <row r="143" ht="18" customHeight="1" hidden="1">
      <c r="A143" s="207"/>
      <c r="B143" s="208"/>
      <c r="C143" s="56"/>
      <c r="D143" s="56"/>
      <c r="E143" s="56"/>
      <c r="F143" s="56"/>
      <c r="G143" s="56"/>
      <c r="H143" s="56"/>
      <c r="I143" s="56"/>
      <c r="J143" s="56"/>
      <c r="K143" s="56"/>
      <c r="L143" s="256"/>
      <c r="M143" s="256"/>
      <c r="N143" s="256"/>
      <c r="O143" s="256"/>
      <c r="P143" s="256"/>
      <c r="Q143" s="256"/>
      <c r="R143" s="256"/>
      <c r="S143" s="208"/>
      <c r="T143" s="256"/>
      <c r="U143" s="256"/>
      <c r="V143" s="256"/>
      <c r="W143" s="256"/>
      <c r="X143" s="237"/>
      <c r="Y143" s="256"/>
      <c r="Z143" s="256"/>
      <c r="AA143" s="256"/>
      <c r="AB143" s="256"/>
      <c r="AC143" s="256"/>
      <c r="AD143" s="256"/>
      <c r="AE143" s="256"/>
      <c r="AF143" s="256"/>
      <c r="AG143" s="256"/>
      <c r="AH143" s="256"/>
      <c r="AI143" s="256"/>
      <c r="AJ143" s="256"/>
      <c r="AK143" s="237"/>
      <c r="AL143" s="56"/>
      <c r="AM143" s="56"/>
      <c r="AN143" s="56"/>
      <c r="AO143" s="56"/>
      <c r="AP143" s="56"/>
      <c r="AQ143" s="56"/>
      <c r="AR143" s="56"/>
      <c r="AS143" s="56"/>
      <c r="AT143" s="56"/>
      <c r="AU143" s="56"/>
      <c r="AV143" s="56"/>
      <c r="AW143" s="56"/>
      <c r="AX143" s="56"/>
      <c r="AY143" s="208"/>
      <c r="AZ143" s="211"/>
    </row>
    <row r="144" ht="18" customHeight="1" hidden="1">
      <c r="A144" s="207"/>
      <c r="B144" s="208"/>
      <c r="C144" s="56"/>
      <c r="D144" s="56"/>
      <c r="E144" s="56"/>
      <c r="F144" s="56"/>
      <c r="G144" s="56"/>
      <c r="H144" s="56"/>
      <c r="I144" s="56"/>
      <c r="J144" s="56"/>
      <c r="K144" s="56"/>
      <c r="L144" s="256"/>
      <c r="M144" s="256"/>
      <c r="N144" s="256"/>
      <c r="O144" s="256"/>
      <c r="P144" s="256"/>
      <c r="Q144" s="256"/>
      <c r="R144" s="256"/>
      <c r="S144" s="208"/>
      <c r="T144" s="256"/>
      <c r="U144" s="256"/>
      <c r="V144" s="256"/>
      <c r="W144" s="256"/>
      <c r="X144" s="237"/>
      <c r="Y144" s="256"/>
      <c r="Z144" s="256"/>
      <c r="AA144" s="256"/>
      <c r="AB144" s="256"/>
      <c r="AC144" s="256"/>
      <c r="AD144" s="256"/>
      <c r="AE144" s="256"/>
      <c r="AF144" s="256"/>
      <c r="AG144" s="256"/>
      <c r="AH144" s="256"/>
      <c r="AI144" s="256"/>
      <c r="AJ144" s="256"/>
      <c r="AK144" s="237"/>
      <c r="AL144" s="56"/>
      <c r="AM144" s="56"/>
      <c r="AN144" s="56"/>
      <c r="AO144" s="56"/>
      <c r="AP144" s="56"/>
      <c r="AQ144" s="56"/>
      <c r="AR144" s="56"/>
      <c r="AS144" s="56"/>
      <c r="AT144" s="56"/>
      <c r="AU144" s="56"/>
      <c r="AV144" s="56"/>
      <c r="AW144" s="56"/>
      <c r="AX144" s="56"/>
      <c r="AY144" s="208"/>
      <c r="AZ144" s="211"/>
    </row>
    <row r="145" ht="18" customHeight="1" hidden="1">
      <c r="A145" s="207"/>
      <c r="B145" s="208"/>
      <c r="C145" s="56"/>
      <c r="D145" s="56"/>
      <c r="E145" s="56"/>
      <c r="F145" s="56"/>
      <c r="G145" s="56"/>
      <c r="H145" s="56"/>
      <c r="I145" s="56"/>
      <c r="J145" s="56"/>
      <c r="K145" s="56"/>
      <c r="L145" s="256"/>
      <c r="M145" s="256"/>
      <c r="N145" s="256"/>
      <c r="O145" s="256"/>
      <c r="P145" s="256"/>
      <c r="Q145" s="256"/>
      <c r="R145" s="256"/>
      <c r="S145" s="208"/>
      <c r="T145" s="256"/>
      <c r="U145" s="256"/>
      <c r="V145" s="256"/>
      <c r="W145" s="256"/>
      <c r="X145" s="237"/>
      <c r="Y145" s="256"/>
      <c r="Z145" s="256"/>
      <c r="AA145" s="256"/>
      <c r="AB145" s="256"/>
      <c r="AC145" s="256"/>
      <c r="AD145" s="256"/>
      <c r="AE145" s="256"/>
      <c r="AF145" s="256"/>
      <c r="AG145" s="256"/>
      <c r="AH145" s="256"/>
      <c r="AI145" s="256"/>
      <c r="AJ145" s="256"/>
      <c r="AK145" s="237"/>
      <c r="AL145" s="56"/>
      <c r="AM145" s="56"/>
      <c r="AN145" s="56"/>
      <c r="AO145" s="56"/>
      <c r="AP145" s="56"/>
      <c r="AQ145" s="56"/>
      <c r="AR145" s="56"/>
      <c r="AS145" s="56"/>
      <c r="AT145" s="56"/>
      <c r="AU145" s="56"/>
      <c r="AV145" s="56"/>
      <c r="AW145" s="56"/>
      <c r="AX145" s="56"/>
      <c r="AY145" s="208"/>
      <c r="AZ145" s="211"/>
    </row>
    <row r="146" ht="18" customHeight="1" hidden="1">
      <c r="A146" s="207"/>
      <c r="B146" s="208"/>
      <c r="C146" s="56"/>
      <c r="D146" s="56"/>
      <c r="E146" s="56"/>
      <c r="F146" s="56"/>
      <c r="G146" s="56"/>
      <c r="H146" s="56"/>
      <c r="I146" s="56"/>
      <c r="J146" s="56"/>
      <c r="K146" s="56"/>
      <c r="L146" s="256"/>
      <c r="M146" s="256"/>
      <c r="N146" s="256"/>
      <c r="O146" s="256"/>
      <c r="P146" s="256"/>
      <c r="Q146" s="256"/>
      <c r="R146" s="256"/>
      <c r="S146" s="208"/>
      <c r="T146" s="256"/>
      <c r="U146" s="256"/>
      <c r="V146" s="256"/>
      <c r="W146" s="256"/>
      <c r="X146" s="237"/>
      <c r="Y146" s="256"/>
      <c r="Z146" s="256"/>
      <c r="AA146" s="256"/>
      <c r="AB146" s="256"/>
      <c r="AC146" s="256"/>
      <c r="AD146" s="256"/>
      <c r="AE146" s="256"/>
      <c r="AF146" s="256"/>
      <c r="AG146" s="256"/>
      <c r="AH146" s="256"/>
      <c r="AI146" s="256"/>
      <c r="AJ146" s="256"/>
      <c r="AK146" s="237"/>
      <c r="AL146" s="56"/>
      <c r="AM146" s="56"/>
      <c r="AN146" s="56"/>
      <c r="AO146" s="56"/>
      <c r="AP146" s="56"/>
      <c r="AQ146" s="56"/>
      <c r="AR146" s="56"/>
      <c r="AS146" s="56"/>
      <c r="AT146" s="56"/>
      <c r="AU146" s="56"/>
      <c r="AV146" s="56"/>
      <c r="AW146" s="56"/>
      <c r="AX146" s="56"/>
      <c r="AY146" s="208"/>
      <c r="AZ146" s="211"/>
    </row>
    <row r="147" ht="18" customHeight="1" hidden="1">
      <c r="A147" s="207"/>
      <c r="B147" s="208"/>
      <c r="C147" s="56"/>
      <c r="D147" s="56"/>
      <c r="E147" s="56"/>
      <c r="F147" s="56"/>
      <c r="G147" s="56"/>
      <c r="H147" s="56"/>
      <c r="I147" s="56"/>
      <c r="J147" s="56"/>
      <c r="K147" s="56"/>
      <c r="L147" s="256"/>
      <c r="M147" s="256"/>
      <c r="N147" s="256"/>
      <c r="O147" s="256"/>
      <c r="P147" s="256"/>
      <c r="Q147" s="256"/>
      <c r="R147" s="256"/>
      <c r="S147" s="208"/>
      <c r="T147" s="256"/>
      <c r="U147" s="256"/>
      <c r="V147" s="256"/>
      <c r="W147" s="256"/>
      <c r="X147" s="237"/>
      <c r="Y147" s="256"/>
      <c r="Z147" s="256"/>
      <c r="AA147" s="256"/>
      <c r="AB147" s="256"/>
      <c r="AC147" s="256"/>
      <c r="AD147" s="256"/>
      <c r="AE147" s="256"/>
      <c r="AF147" s="256"/>
      <c r="AG147" s="256"/>
      <c r="AH147" s="256"/>
      <c r="AI147" s="256"/>
      <c r="AJ147" s="256"/>
      <c r="AK147" s="237"/>
      <c r="AL147" s="56"/>
      <c r="AM147" s="56"/>
      <c r="AN147" s="56"/>
      <c r="AO147" s="56"/>
      <c r="AP147" s="56"/>
      <c r="AQ147" s="56"/>
      <c r="AR147" s="56"/>
      <c r="AS147" s="56"/>
      <c r="AT147" s="56"/>
      <c r="AU147" s="56"/>
      <c r="AV147" s="56"/>
      <c r="AW147" s="56"/>
      <c r="AX147" s="56"/>
      <c r="AY147" s="208"/>
      <c r="AZ147" s="211"/>
    </row>
    <row r="148" ht="18" customHeight="1" hidden="1">
      <c r="A148" s="207"/>
      <c r="B148" s="208"/>
      <c r="C148" s="56"/>
      <c r="D148" s="56"/>
      <c r="E148" s="56"/>
      <c r="F148" s="56"/>
      <c r="G148" s="56"/>
      <c r="H148" s="56"/>
      <c r="I148" s="56"/>
      <c r="J148" s="56"/>
      <c r="K148" s="56"/>
      <c r="L148" s="256"/>
      <c r="M148" s="256"/>
      <c r="N148" s="256"/>
      <c r="O148" s="256"/>
      <c r="P148" s="256"/>
      <c r="Q148" s="256"/>
      <c r="R148" s="256"/>
      <c r="S148" s="208"/>
      <c r="T148" s="256"/>
      <c r="U148" s="256"/>
      <c r="V148" s="256"/>
      <c r="W148" s="256"/>
      <c r="X148" s="237"/>
      <c r="Y148" s="256"/>
      <c r="Z148" s="256"/>
      <c r="AA148" s="256"/>
      <c r="AB148" s="256"/>
      <c r="AC148" s="256"/>
      <c r="AD148" s="256"/>
      <c r="AE148" s="256"/>
      <c r="AF148" s="256"/>
      <c r="AG148" s="256"/>
      <c r="AH148" s="256"/>
      <c r="AI148" s="256"/>
      <c r="AJ148" s="256"/>
      <c r="AK148" s="237"/>
      <c r="AL148" s="56"/>
      <c r="AM148" s="56"/>
      <c r="AN148" s="56"/>
      <c r="AO148" s="56"/>
      <c r="AP148" s="56"/>
      <c r="AQ148" s="56"/>
      <c r="AR148" s="56"/>
      <c r="AS148" s="56"/>
      <c r="AT148" s="56"/>
      <c r="AU148" s="56"/>
      <c r="AV148" s="56"/>
      <c r="AW148" s="56"/>
      <c r="AX148" s="56"/>
      <c r="AY148" s="208"/>
      <c r="AZ148" s="211"/>
    </row>
    <row r="149" ht="18" customHeight="1" hidden="1">
      <c r="A149" s="207"/>
      <c r="B149" s="208"/>
      <c r="C149" s="56"/>
      <c r="D149" s="56"/>
      <c r="E149" s="56"/>
      <c r="F149" s="56"/>
      <c r="G149" s="56"/>
      <c r="H149" s="56"/>
      <c r="I149" s="56"/>
      <c r="J149" s="56"/>
      <c r="K149" s="56"/>
      <c r="L149" s="256"/>
      <c r="M149" s="256"/>
      <c r="N149" s="256"/>
      <c r="O149" s="256"/>
      <c r="P149" s="256"/>
      <c r="Q149" s="256"/>
      <c r="R149" s="256"/>
      <c r="S149" s="208"/>
      <c r="T149" s="256"/>
      <c r="U149" s="256"/>
      <c r="V149" s="256"/>
      <c r="W149" s="256"/>
      <c r="X149" s="237"/>
      <c r="Y149" s="256"/>
      <c r="Z149" s="256"/>
      <c r="AA149" s="256"/>
      <c r="AB149" s="256"/>
      <c r="AC149" s="256"/>
      <c r="AD149" s="256"/>
      <c r="AE149" s="256"/>
      <c r="AF149" s="256"/>
      <c r="AG149" s="256"/>
      <c r="AH149" s="256"/>
      <c r="AI149" s="256"/>
      <c r="AJ149" s="256"/>
      <c r="AK149" s="237"/>
      <c r="AL149" s="56"/>
      <c r="AM149" s="56"/>
      <c r="AN149" s="56"/>
      <c r="AO149" s="56"/>
      <c r="AP149" s="56"/>
      <c r="AQ149" s="56"/>
      <c r="AR149" s="56"/>
      <c r="AS149" s="56"/>
      <c r="AT149" s="56"/>
      <c r="AU149" s="56"/>
      <c r="AV149" s="56"/>
      <c r="AW149" s="56"/>
      <c r="AX149" s="56"/>
      <c r="AY149" s="208"/>
      <c r="AZ149" s="211"/>
    </row>
    <row r="150" ht="18" customHeight="1" hidden="1">
      <c r="A150" s="207"/>
      <c r="B150" s="208"/>
      <c r="C150" s="56"/>
      <c r="D150" s="56"/>
      <c r="E150" s="56"/>
      <c r="F150" s="56"/>
      <c r="G150" s="56"/>
      <c r="H150" s="56"/>
      <c r="I150" s="56"/>
      <c r="J150" s="56"/>
      <c r="K150" s="56"/>
      <c r="L150" s="256"/>
      <c r="M150" s="256"/>
      <c r="N150" s="256"/>
      <c r="O150" s="256"/>
      <c r="P150" s="256"/>
      <c r="Q150" s="256"/>
      <c r="R150" s="256"/>
      <c r="S150" s="208"/>
      <c r="T150" s="256"/>
      <c r="U150" s="256"/>
      <c r="V150" s="256"/>
      <c r="W150" s="256"/>
      <c r="X150" s="237"/>
      <c r="Y150" s="256"/>
      <c r="Z150" s="256"/>
      <c r="AA150" s="256"/>
      <c r="AB150" s="256"/>
      <c r="AC150" s="256"/>
      <c r="AD150" s="256"/>
      <c r="AE150" s="256"/>
      <c r="AF150" s="256"/>
      <c r="AG150" s="256"/>
      <c r="AH150" s="256"/>
      <c r="AI150" s="256"/>
      <c r="AJ150" s="256"/>
      <c r="AK150" s="237"/>
      <c r="AL150" s="56"/>
      <c r="AM150" s="56"/>
      <c r="AN150" s="56"/>
      <c r="AO150" s="56"/>
      <c r="AP150" s="56"/>
      <c r="AQ150" s="56"/>
      <c r="AR150" s="56"/>
      <c r="AS150" s="56"/>
      <c r="AT150" s="56"/>
      <c r="AU150" s="56"/>
      <c r="AV150" s="56"/>
      <c r="AW150" s="56"/>
      <c r="AX150" s="56"/>
      <c r="AY150" s="208"/>
      <c r="AZ150" s="211"/>
    </row>
    <row r="151" ht="18" customHeight="1" hidden="1">
      <c r="A151" s="207"/>
      <c r="B151" s="208"/>
      <c r="C151" s="56"/>
      <c r="D151" s="56"/>
      <c r="E151" s="56"/>
      <c r="F151" s="56"/>
      <c r="G151" s="56"/>
      <c r="H151" s="56"/>
      <c r="I151" s="56"/>
      <c r="J151" s="56"/>
      <c r="K151" s="56"/>
      <c r="L151" s="256"/>
      <c r="M151" s="256"/>
      <c r="N151" s="256"/>
      <c r="O151" s="256"/>
      <c r="P151" s="256"/>
      <c r="Q151" s="256"/>
      <c r="R151" s="256"/>
      <c r="S151" s="208"/>
      <c r="T151" s="256"/>
      <c r="U151" s="256"/>
      <c r="V151" s="256"/>
      <c r="W151" s="256"/>
      <c r="X151" s="237"/>
      <c r="Y151" s="256"/>
      <c r="Z151" s="256"/>
      <c r="AA151" s="256"/>
      <c r="AB151" s="256"/>
      <c r="AC151" s="256"/>
      <c r="AD151" s="256"/>
      <c r="AE151" s="256"/>
      <c r="AF151" s="256"/>
      <c r="AG151" s="256"/>
      <c r="AH151" s="256"/>
      <c r="AI151" s="256"/>
      <c r="AJ151" s="256"/>
      <c r="AK151" s="237"/>
      <c r="AL151" s="56"/>
      <c r="AM151" s="56"/>
      <c r="AN151" s="56"/>
      <c r="AO151" s="56"/>
      <c r="AP151" s="56"/>
      <c r="AQ151" s="56"/>
      <c r="AR151" s="56"/>
      <c r="AS151" s="56"/>
      <c r="AT151" s="56"/>
      <c r="AU151" s="56"/>
      <c r="AV151" s="56"/>
      <c r="AW151" s="56"/>
      <c r="AX151" s="56"/>
      <c r="AY151" s="208"/>
      <c r="AZ151" s="211"/>
    </row>
    <row r="152" ht="18" customHeight="1" hidden="1">
      <c r="A152" s="207"/>
      <c r="B152" s="208"/>
      <c r="C152" s="56"/>
      <c r="D152" s="56"/>
      <c r="E152" s="56"/>
      <c r="F152" s="56"/>
      <c r="G152" s="56"/>
      <c r="H152" s="56"/>
      <c r="I152" s="56"/>
      <c r="J152" s="56"/>
      <c r="K152" s="56"/>
      <c r="L152" s="256"/>
      <c r="M152" s="256"/>
      <c r="N152" s="256"/>
      <c r="O152" s="256"/>
      <c r="P152" s="256"/>
      <c r="Q152" s="256"/>
      <c r="R152" s="256"/>
      <c r="S152" s="208"/>
      <c r="T152" s="256"/>
      <c r="U152" s="256"/>
      <c r="V152" s="256"/>
      <c r="W152" s="256"/>
      <c r="X152" s="237"/>
      <c r="Y152" s="256"/>
      <c r="Z152" s="256"/>
      <c r="AA152" s="256"/>
      <c r="AB152" s="256"/>
      <c r="AC152" s="256"/>
      <c r="AD152" s="256"/>
      <c r="AE152" s="256"/>
      <c r="AF152" s="256"/>
      <c r="AG152" s="256"/>
      <c r="AH152" s="256"/>
      <c r="AI152" s="256"/>
      <c r="AJ152" s="256"/>
      <c r="AK152" s="237"/>
      <c r="AL152" s="56"/>
      <c r="AM152" s="56"/>
      <c r="AN152" s="56"/>
      <c r="AO152" s="56"/>
      <c r="AP152" s="56"/>
      <c r="AQ152" s="56"/>
      <c r="AR152" s="56"/>
      <c r="AS152" s="56"/>
      <c r="AT152" s="56"/>
      <c r="AU152" s="56"/>
      <c r="AV152" s="56"/>
      <c r="AW152" s="56"/>
      <c r="AX152" s="56"/>
      <c r="AY152" s="208"/>
      <c r="AZ152" s="211"/>
    </row>
    <row r="153" ht="18" customHeight="1" hidden="1">
      <c r="A153" s="207"/>
      <c r="B153" s="208"/>
      <c r="C153" s="56"/>
      <c r="D153" s="56"/>
      <c r="E153" s="56"/>
      <c r="F153" s="56"/>
      <c r="G153" s="56"/>
      <c r="H153" s="56"/>
      <c r="I153" s="56"/>
      <c r="J153" s="56"/>
      <c r="K153" s="56"/>
      <c r="L153" s="256"/>
      <c r="M153" s="256"/>
      <c r="N153" s="256"/>
      <c r="O153" s="256"/>
      <c r="P153" s="256"/>
      <c r="Q153" s="256"/>
      <c r="R153" s="256"/>
      <c r="S153" s="208"/>
      <c r="T153" s="256"/>
      <c r="U153" s="256"/>
      <c r="V153" s="256"/>
      <c r="W153" s="256"/>
      <c r="X153" s="237"/>
      <c r="Y153" s="256"/>
      <c r="Z153" s="256"/>
      <c r="AA153" s="256"/>
      <c r="AB153" s="256"/>
      <c r="AC153" s="256"/>
      <c r="AD153" s="256"/>
      <c r="AE153" s="256"/>
      <c r="AF153" s="256"/>
      <c r="AG153" s="256"/>
      <c r="AH153" s="256"/>
      <c r="AI153" s="256"/>
      <c r="AJ153" s="256"/>
      <c r="AK153" s="237"/>
      <c r="AL153" s="56"/>
      <c r="AM153" s="56"/>
      <c r="AN153" s="56"/>
      <c r="AO153" s="56"/>
      <c r="AP153" s="56"/>
      <c r="AQ153" s="56"/>
      <c r="AR153" s="56"/>
      <c r="AS153" s="56"/>
      <c r="AT153" s="56"/>
      <c r="AU153" s="56"/>
      <c r="AV153" s="56"/>
      <c r="AW153" s="56"/>
      <c r="AX153" s="56"/>
      <c r="AY153" s="208"/>
      <c r="AZ153" s="211"/>
    </row>
    <row r="154" ht="18" customHeight="1" hidden="1">
      <c r="A154" s="207"/>
      <c r="B154" s="208"/>
      <c r="C154" s="56"/>
      <c r="D154" s="56"/>
      <c r="E154" s="56"/>
      <c r="F154" s="56"/>
      <c r="G154" s="56"/>
      <c r="H154" s="56"/>
      <c r="I154" s="56"/>
      <c r="J154" s="56"/>
      <c r="K154" s="56"/>
      <c r="L154" s="256"/>
      <c r="M154" s="256"/>
      <c r="N154" s="256"/>
      <c r="O154" s="256"/>
      <c r="P154" s="256"/>
      <c r="Q154" s="256"/>
      <c r="R154" s="256"/>
      <c r="S154" s="208"/>
      <c r="T154" s="256"/>
      <c r="U154" s="256"/>
      <c r="V154" s="256"/>
      <c r="W154" s="256"/>
      <c r="X154" s="237"/>
      <c r="Y154" s="256"/>
      <c r="Z154" s="256"/>
      <c r="AA154" s="256"/>
      <c r="AB154" s="256"/>
      <c r="AC154" s="256"/>
      <c r="AD154" s="256"/>
      <c r="AE154" s="256"/>
      <c r="AF154" s="256"/>
      <c r="AG154" s="256"/>
      <c r="AH154" s="256"/>
      <c r="AI154" s="256"/>
      <c r="AJ154" s="256"/>
      <c r="AK154" s="237"/>
      <c r="AL154" s="56"/>
      <c r="AM154" s="56"/>
      <c r="AN154" s="56"/>
      <c r="AO154" s="56"/>
      <c r="AP154" s="56"/>
      <c r="AQ154" s="56"/>
      <c r="AR154" s="56"/>
      <c r="AS154" s="56"/>
      <c r="AT154" s="56"/>
      <c r="AU154" s="56"/>
      <c r="AV154" s="56"/>
      <c r="AW154" s="56"/>
      <c r="AX154" s="56"/>
      <c r="AY154" s="208"/>
      <c r="AZ154" s="211"/>
    </row>
    <row r="155" ht="18" customHeight="1" hidden="1">
      <c r="A155" s="207"/>
      <c r="B155" s="208"/>
      <c r="C155" s="56"/>
      <c r="D155" s="56"/>
      <c r="E155" s="56"/>
      <c r="F155" s="56"/>
      <c r="G155" s="56"/>
      <c r="H155" s="56"/>
      <c r="I155" s="56"/>
      <c r="J155" s="56"/>
      <c r="K155" s="56"/>
      <c r="L155" s="256"/>
      <c r="M155" s="256"/>
      <c r="N155" s="256"/>
      <c r="O155" s="256"/>
      <c r="P155" s="256"/>
      <c r="Q155" s="256"/>
      <c r="R155" s="256"/>
      <c r="S155" s="208"/>
      <c r="T155" s="256"/>
      <c r="U155" s="256"/>
      <c r="V155" s="256"/>
      <c r="W155" s="256"/>
      <c r="X155" s="237"/>
      <c r="Y155" s="256"/>
      <c r="Z155" s="256"/>
      <c r="AA155" s="256"/>
      <c r="AB155" s="256"/>
      <c r="AC155" s="256"/>
      <c r="AD155" s="256"/>
      <c r="AE155" s="256"/>
      <c r="AF155" s="256"/>
      <c r="AG155" s="256"/>
      <c r="AH155" s="256"/>
      <c r="AI155" s="256"/>
      <c r="AJ155" s="256"/>
      <c r="AK155" s="237"/>
      <c r="AL155" s="56"/>
      <c r="AM155" s="56"/>
      <c r="AN155" s="56"/>
      <c r="AO155" s="56"/>
      <c r="AP155" s="56"/>
      <c r="AQ155" s="56"/>
      <c r="AR155" s="56"/>
      <c r="AS155" s="56"/>
      <c r="AT155" s="56"/>
      <c r="AU155" s="56"/>
      <c r="AV155" s="56"/>
      <c r="AW155" s="56"/>
      <c r="AX155" s="56"/>
      <c r="AY155" s="208"/>
      <c r="AZ155" s="211"/>
    </row>
    <row r="156" ht="18" customHeight="1" hidden="1">
      <c r="A156" s="207"/>
      <c r="B156" s="208"/>
      <c r="C156" s="56"/>
      <c r="D156" s="56"/>
      <c r="E156" s="56"/>
      <c r="F156" s="56"/>
      <c r="G156" s="56"/>
      <c r="H156" s="56"/>
      <c r="I156" s="56"/>
      <c r="J156" s="56"/>
      <c r="K156" s="56"/>
      <c r="L156" s="256"/>
      <c r="M156" s="256"/>
      <c r="N156" s="256"/>
      <c r="O156" s="256"/>
      <c r="P156" s="256"/>
      <c r="Q156" s="256"/>
      <c r="R156" s="256"/>
      <c r="S156" s="208"/>
      <c r="T156" s="256"/>
      <c r="U156" s="256"/>
      <c r="V156" s="256"/>
      <c r="W156" s="256"/>
      <c r="X156" s="237"/>
      <c r="Y156" s="256"/>
      <c r="Z156" s="256"/>
      <c r="AA156" s="256"/>
      <c r="AB156" s="256"/>
      <c r="AC156" s="256"/>
      <c r="AD156" s="256"/>
      <c r="AE156" s="256"/>
      <c r="AF156" s="256"/>
      <c r="AG156" s="256"/>
      <c r="AH156" s="256"/>
      <c r="AI156" s="256"/>
      <c r="AJ156" s="256"/>
      <c r="AK156" s="237"/>
      <c r="AL156" s="56"/>
      <c r="AM156" s="56"/>
      <c r="AN156" s="56"/>
      <c r="AO156" s="56"/>
      <c r="AP156" s="56"/>
      <c r="AQ156" s="56"/>
      <c r="AR156" s="56"/>
      <c r="AS156" s="56"/>
      <c r="AT156" s="56"/>
      <c r="AU156" s="56"/>
      <c r="AV156" s="56"/>
      <c r="AW156" s="56"/>
      <c r="AX156" s="56"/>
      <c r="AY156" s="208"/>
      <c r="AZ156" s="211"/>
    </row>
    <row r="157" ht="18" customHeight="1" hidden="1">
      <c r="A157" s="207"/>
      <c r="B157" s="208"/>
      <c r="C157" s="56"/>
      <c r="D157" s="56"/>
      <c r="E157" s="56"/>
      <c r="F157" s="56"/>
      <c r="G157" s="56"/>
      <c r="H157" s="56"/>
      <c r="I157" s="56"/>
      <c r="J157" s="56"/>
      <c r="K157" s="56"/>
      <c r="L157" s="256"/>
      <c r="M157" s="256"/>
      <c r="N157" s="256"/>
      <c r="O157" s="256"/>
      <c r="P157" s="256"/>
      <c r="Q157" s="256"/>
      <c r="R157" s="256"/>
      <c r="S157" s="208"/>
      <c r="T157" s="256"/>
      <c r="U157" s="256"/>
      <c r="V157" s="256"/>
      <c r="W157" s="256"/>
      <c r="X157" s="237"/>
      <c r="Y157" s="256"/>
      <c r="Z157" s="256"/>
      <c r="AA157" s="256"/>
      <c r="AB157" s="256"/>
      <c r="AC157" s="256"/>
      <c r="AD157" s="256"/>
      <c r="AE157" s="256"/>
      <c r="AF157" s="256"/>
      <c r="AG157" s="256"/>
      <c r="AH157" s="256"/>
      <c r="AI157" s="256"/>
      <c r="AJ157" s="256"/>
      <c r="AK157" s="237"/>
      <c r="AL157" s="56"/>
      <c r="AM157" s="56"/>
      <c r="AN157" s="56"/>
      <c r="AO157" s="56"/>
      <c r="AP157" s="56"/>
      <c r="AQ157" s="56"/>
      <c r="AR157" s="56"/>
      <c r="AS157" s="56"/>
      <c r="AT157" s="56"/>
      <c r="AU157" s="56"/>
      <c r="AV157" s="56"/>
      <c r="AW157" s="56"/>
      <c r="AX157" s="56"/>
      <c r="AY157" s="208"/>
      <c r="AZ157" s="211"/>
    </row>
    <row r="158" ht="18" customHeight="1" hidden="1">
      <c r="A158" s="207"/>
      <c r="B158" s="208"/>
      <c r="C158" s="56"/>
      <c r="D158" s="56"/>
      <c r="E158" s="56"/>
      <c r="F158" s="56"/>
      <c r="G158" s="56"/>
      <c r="H158" s="56"/>
      <c r="I158" s="56"/>
      <c r="J158" s="56"/>
      <c r="K158" s="56"/>
      <c r="L158" s="256"/>
      <c r="M158" s="256"/>
      <c r="N158" s="256"/>
      <c r="O158" s="256"/>
      <c r="P158" s="256"/>
      <c r="Q158" s="256"/>
      <c r="R158" s="256"/>
      <c r="S158" s="208"/>
      <c r="T158" s="256"/>
      <c r="U158" s="256"/>
      <c r="V158" s="256"/>
      <c r="W158" s="256"/>
      <c r="X158" s="237"/>
      <c r="Y158" s="256"/>
      <c r="Z158" s="256"/>
      <c r="AA158" s="256"/>
      <c r="AB158" s="256"/>
      <c r="AC158" s="256"/>
      <c r="AD158" s="256"/>
      <c r="AE158" s="256"/>
      <c r="AF158" s="256"/>
      <c r="AG158" s="256"/>
      <c r="AH158" s="256"/>
      <c r="AI158" s="256"/>
      <c r="AJ158" s="256"/>
      <c r="AK158" s="237"/>
      <c r="AL158" s="56"/>
      <c r="AM158" s="56"/>
      <c r="AN158" s="56"/>
      <c r="AO158" s="56"/>
      <c r="AP158" s="56"/>
      <c r="AQ158" s="56"/>
      <c r="AR158" s="56"/>
      <c r="AS158" s="56"/>
      <c r="AT158" s="56"/>
      <c r="AU158" s="56"/>
      <c r="AV158" s="56"/>
      <c r="AW158" s="56"/>
      <c r="AX158" s="56"/>
      <c r="AY158" s="208"/>
      <c r="AZ158" s="211"/>
    </row>
    <row r="159" ht="18" customHeight="1" hidden="1">
      <c r="A159" s="207"/>
      <c r="B159" s="208"/>
      <c r="C159" s="56"/>
      <c r="D159" s="56"/>
      <c r="E159" s="56"/>
      <c r="F159" s="56"/>
      <c r="G159" s="56"/>
      <c r="H159" s="56"/>
      <c r="I159" s="56"/>
      <c r="J159" s="56"/>
      <c r="K159" s="56"/>
      <c r="L159" s="256"/>
      <c r="M159" s="256"/>
      <c r="N159" s="256"/>
      <c r="O159" s="256"/>
      <c r="P159" s="256"/>
      <c r="Q159" s="256"/>
      <c r="R159" s="256"/>
      <c r="S159" s="208"/>
      <c r="T159" s="256"/>
      <c r="U159" s="256"/>
      <c r="V159" s="256"/>
      <c r="W159" s="256"/>
      <c r="X159" s="237"/>
      <c r="Y159" s="256"/>
      <c r="Z159" s="256"/>
      <c r="AA159" s="256"/>
      <c r="AB159" s="256"/>
      <c r="AC159" s="256"/>
      <c r="AD159" s="256"/>
      <c r="AE159" s="256"/>
      <c r="AF159" s="256"/>
      <c r="AG159" s="256"/>
      <c r="AH159" s="256"/>
      <c r="AI159" s="256"/>
      <c r="AJ159" s="256"/>
      <c r="AK159" s="237"/>
      <c r="AL159" s="56"/>
      <c r="AM159" s="56"/>
      <c r="AN159" s="56"/>
      <c r="AO159" s="56"/>
      <c r="AP159" s="56"/>
      <c r="AQ159" s="56"/>
      <c r="AR159" s="56"/>
      <c r="AS159" s="56"/>
      <c r="AT159" s="56"/>
      <c r="AU159" s="56"/>
      <c r="AV159" s="56"/>
      <c r="AW159" s="56"/>
      <c r="AX159" s="56"/>
      <c r="AY159" s="208"/>
      <c r="AZ159" s="211"/>
    </row>
    <row r="160" ht="18" customHeight="1" hidden="1">
      <c r="A160" s="207"/>
      <c r="B160" s="208"/>
      <c r="C160" s="56"/>
      <c r="D160" s="56"/>
      <c r="E160" s="56"/>
      <c r="F160" s="56"/>
      <c r="G160" s="56"/>
      <c r="H160" s="56"/>
      <c r="I160" s="56"/>
      <c r="J160" s="56"/>
      <c r="K160" s="56"/>
      <c r="L160" s="256"/>
      <c r="M160" s="256"/>
      <c r="N160" s="256"/>
      <c r="O160" s="256"/>
      <c r="P160" s="256"/>
      <c r="Q160" s="256"/>
      <c r="R160" s="256"/>
      <c r="S160" s="208"/>
      <c r="T160" s="256"/>
      <c r="U160" s="256"/>
      <c r="V160" s="256"/>
      <c r="W160" s="256"/>
      <c r="X160" s="237"/>
      <c r="Y160" s="256"/>
      <c r="Z160" s="256"/>
      <c r="AA160" s="256"/>
      <c r="AB160" s="256"/>
      <c r="AC160" s="256"/>
      <c r="AD160" s="256"/>
      <c r="AE160" s="256"/>
      <c r="AF160" s="256"/>
      <c r="AG160" s="256"/>
      <c r="AH160" s="256"/>
      <c r="AI160" s="256"/>
      <c r="AJ160" s="256"/>
      <c r="AK160" s="237"/>
      <c r="AL160" s="56"/>
      <c r="AM160" s="56"/>
      <c r="AN160" s="56"/>
      <c r="AO160" s="56"/>
      <c r="AP160" s="56"/>
      <c r="AQ160" s="56"/>
      <c r="AR160" s="56"/>
      <c r="AS160" s="56"/>
      <c r="AT160" s="56"/>
      <c r="AU160" s="56"/>
      <c r="AV160" s="56"/>
      <c r="AW160" s="56"/>
      <c r="AX160" s="56"/>
      <c r="AY160" s="208"/>
      <c r="AZ160" s="211"/>
    </row>
    <row r="161" ht="18" customHeight="1" hidden="1">
      <c r="A161" s="207"/>
      <c r="B161" s="208"/>
      <c r="C161" s="56"/>
      <c r="D161" s="56"/>
      <c r="E161" s="56"/>
      <c r="F161" s="56"/>
      <c r="G161" s="56"/>
      <c r="H161" s="56"/>
      <c r="I161" s="56"/>
      <c r="J161" s="56"/>
      <c r="K161" s="56"/>
      <c r="L161" s="256"/>
      <c r="M161" s="256"/>
      <c r="N161" s="256"/>
      <c r="O161" s="256"/>
      <c r="P161" s="256"/>
      <c r="Q161" s="256"/>
      <c r="R161" s="256"/>
      <c r="S161" s="208"/>
      <c r="T161" s="256"/>
      <c r="U161" s="256"/>
      <c r="V161" s="256"/>
      <c r="W161" s="256"/>
      <c r="X161" s="237"/>
      <c r="Y161" s="256"/>
      <c r="Z161" s="256"/>
      <c r="AA161" s="256"/>
      <c r="AB161" s="256"/>
      <c r="AC161" s="256"/>
      <c r="AD161" s="256"/>
      <c r="AE161" s="256"/>
      <c r="AF161" s="256"/>
      <c r="AG161" s="256"/>
      <c r="AH161" s="256"/>
      <c r="AI161" s="256"/>
      <c r="AJ161" s="256"/>
      <c r="AK161" s="237"/>
      <c r="AL161" s="56"/>
      <c r="AM161" s="56"/>
      <c r="AN161" s="56"/>
      <c r="AO161" s="56"/>
      <c r="AP161" s="56"/>
      <c r="AQ161" s="56"/>
      <c r="AR161" s="56"/>
      <c r="AS161" s="56"/>
      <c r="AT161" s="56"/>
      <c r="AU161" s="56"/>
      <c r="AV161" s="56"/>
      <c r="AW161" s="56"/>
      <c r="AX161" s="56"/>
      <c r="AY161" s="208"/>
      <c r="AZ161" s="211"/>
    </row>
    <row r="162" ht="18" customHeight="1" hidden="1">
      <c r="A162" s="207"/>
      <c r="B162" s="208"/>
      <c r="C162" s="56"/>
      <c r="D162" s="56"/>
      <c r="E162" s="56"/>
      <c r="F162" s="56"/>
      <c r="G162" s="56"/>
      <c r="H162" s="56"/>
      <c r="I162" s="56"/>
      <c r="J162" s="56"/>
      <c r="K162" s="56"/>
      <c r="L162" s="256"/>
      <c r="M162" s="256"/>
      <c r="N162" s="256"/>
      <c r="O162" s="256"/>
      <c r="P162" s="256"/>
      <c r="Q162" s="256"/>
      <c r="R162" s="256"/>
      <c r="S162" s="208"/>
      <c r="T162" s="256"/>
      <c r="U162" s="256"/>
      <c r="V162" s="256"/>
      <c r="W162" s="256"/>
      <c r="X162" s="237"/>
      <c r="Y162" s="256"/>
      <c r="Z162" s="256"/>
      <c r="AA162" s="256"/>
      <c r="AB162" s="256"/>
      <c r="AC162" s="256"/>
      <c r="AD162" s="256"/>
      <c r="AE162" s="256"/>
      <c r="AF162" s="256"/>
      <c r="AG162" s="256"/>
      <c r="AH162" s="256"/>
      <c r="AI162" s="256"/>
      <c r="AJ162" s="256"/>
      <c r="AK162" s="237"/>
      <c r="AL162" s="56"/>
      <c r="AM162" s="56"/>
      <c r="AN162" s="56"/>
      <c r="AO162" s="56"/>
      <c r="AP162" s="56"/>
      <c r="AQ162" s="56"/>
      <c r="AR162" s="56"/>
      <c r="AS162" s="56"/>
      <c r="AT162" s="56"/>
      <c r="AU162" s="56"/>
      <c r="AV162" s="56"/>
      <c r="AW162" s="56"/>
      <c r="AX162" s="56"/>
      <c r="AY162" s="208"/>
      <c r="AZ162" s="211"/>
    </row>
    <row r="163" ht="18" customHeight="1" hidden="1">
      <c r="A163" s="207"/>
      <c r="B163" s="208"/>
      <c r="C163" s="56"/>
      <c r="D163" s="56"/>
      <c r="E163" s="56"/>
      <c r="F163" s="56"/>
      <c r="G163" s="56"/>
      <c r="H163" s="56"/>
      <c r="I163" s="56"/>
      <c r="J163" s="56"/>
      <c r="K163" s="56"/>
      <c r="L163" s="256"/>
      <c r="M163" s="256"/>
      <c r="N163" s="256"/>
      <c r="O163" s="256"/>
      <c r="P163" s="256"/>
      <c r="Q163" s="256"/>
      <c r="R163" s="256"/>
      <c r="S163" s="208"/>
      <c r="T163" s="256"/>
      <c r="U163" s="256"/>
      <c r="V163" s="256"/>
      <c r="W163" s="256"/>
      <c r="X163" s="237"/>
      <c r="Y163" s="256"/>
      <c r="Z163" s="256"/>
      <c r="AA163" s="256"/>
      <c r="AB163" s="256"/>
      <c r="AC163" s="256"/>
      <c r="AD163" s="256"/>
      <c r="AE163" s="256"/>
      <c r="AF163" s="256"/>
      <c r="AG163" s="256"/>
      <c r="AH163" s="256"/>
      <c r="AI163" s="256"/>
      <c r="AJ163" s="256"/>
      <c r="AK163" s="237"/>
      <c r="AL163" s="56"/>
      <c r="AM163" s="56"/>
      <c r="AN163" s="56"/>
      <c r="AO163" s="56"/>
      <c r="AP163" s="56"/>
      <c r="AQ163" s="56"/>
      <c r="AR163" s="56"/>
      <c r="AS163" s="56"/>
      <c r="AT163" s="56"/>
      <c r="AU163" s="56"/>
      <c r="AV163" s="56"/>
      <c r="AW163" s="56"/>
      <c r="AX163" s="56"/>
      <c r="AY163" s="208"/>
      <c r="AZ163" s="211"/>
    </row>
    <row r="164" ht="18" customHeight="1" hidden="1">
      <c r="A164" s="207"/>
      <c r="B164" s="208"/>
      <c r="C164" s="56"/>
      <c r="D164" s="56"/>
      <c r="E164" s="56"/>
      <c r="F164" s="56"/>
      <c r="G164" s="56"/>
      <c r="H164" s="56"/>
      <c r="I164" s="56"/>
      <c r="J164" s="56"/>
      <c r="K164" s="56"/>
      <c r="L164" s="256"/>
      <c r="M164" s="256"/>
      <c r="N164" s="256"/>
      <c r="O164" s="256"/>
      <c r="P164" s="256"/>
      <c r="Q164" s="256"/>
      <c r="R164" s="256"/>
      <c r="S164" s="208"/>
      <c r="T164" s="256"/>
      <c r="U164" s="256"/>
      <c r="V164" s="256"/>
      <c r="W164" s="256"/>
      <c r="X164" s="237"/>
      <c r="Y164" s="256"/>
      <c r="Z164" s="256"/>
      <c r="AA164" s="256"/>
      <c r="AB164" s="256"/>
      <c r="AC164" s="256"/>
      <c r="AD164" s="256"/>
      <c r="AE164" s="256"/>
      <c r="AF164" s="256"/>
      <c r="AG164" s="256"/>
      <c r="AH164" s="256"/>
      <c r="AI164" s="256"/>
      <c r="AJ164" s="256"/>
      <c r="AK164" s="237"/>
      <c r="AL164" s="56"/>
      <c r="AM164" s="56"/>
      <c r="AN164" s="56"/>
      <c r="AO164" s="56"/>
      <c r="AP164" s="56"/>
      <c r="AQ164" s="56"/>
      <c r="AR164" s="56"/>
      <c r="AS164" s="56"/>
      <c r="AT164" s="56"/>
      <c r="AU164" s="56"/>
      <c r="AV164" s="56"/>
      <c r="AW164" s="56"/>
      <c r="AX164" s="56"/>
      <c r="AY164" s="208"/>
      <c r="AZ164" s="211"/>
    </row>
    <row r="165" ht="18" customHeight="1" hidden="1">
      <c r="A165" s="207"/>
      <c r="B165" s="208"/>
      <c r="C165" s="56"/>
      <c r="D165" s="56"/>
      <c r="E165" s="56"/>
      <c r="F165" s="56"/>
      <c r="G165" s="56"/>
      <c r="H165" s="56"/>
      <c r="I165" s="56"/>
      <c r="J165" s="56"/>
      <c r="K165" s="56"/>
      <c r="L165" s="256"/>
      <c r="M165" s="256"/>
      <c r="N165" s="256"/>
      <c r="O165" s="256"/>
      <c r="P165" s="256"/>
      <c r="Q165" s="256"/>
      <c r="R165" s="256"/>
      <c r="S165" s="208"/>
      <c r="T165" s="256"/>
      <c r="U165" s="256"/>
      <c r="V165" s="256"/>
      <c r="W165" s="256"/>
      <c r="X165" s="237"/>
      <c r="Y165" s="256"/>
      <c r="Z165" s="256"/>
      <c r="AA165" s="256"/>
      <c r="AB165" s="256"/>
      <c r="AC165" s="256"/>
      <c r="AD165" s="256"/>
      <c r="AE165" s="256"/>
      <c r="AF165" s="256"/>
      <c r="AG165" s="256"/>
      <c r="AH165" s="256"/>
      <c r="AI165" s="256"/>
      <c r="AJ165" s="256"/>
      <c r="AK165" s="237"/>
      <c r="AL165" s="56"/>
      <c r="AM165" s="56"/>
      <c r="AN165" s="56"/>
      <c r="AO165" s="56"/>
      <c r="AP165" s="56"/>
      <c r="AQ165" s="56"/>
      <c r="AR165" s="56"/>
      <c r="AS165" s="56"/>
      <c r="AT165" s="56"/>
      <c r="AU165" s="56"/>
      <c r="AV165" s="56"/>
      <c r="AW165" s="56"/>
      <c r="AX165" s="56"/>
      <c r="AY165" s="208"/>
      <c r="AZ165" s="211"/>
    </row>
    <row r="166" ht="18" customHeight="1" hidden="1">
      <c r="A166" s="207"/>
      <c r="B166" s="208"/>
      <c r="C166" s="56"/>
      <c r="D166" s="56"/>
      <c r="E166" s="56"/>
      <c r="F166" s="56"/>
      <c r="G166" s="56"/>
      <c r="H166" s="56"/>
      <c r="I166" s="56"/>
      <c r="J166" s="56"/>
      <c r="K166" s="56"/>
      <c r="L166" s="256"/>
      <c r="M166" s="256"/>
      <c r="N166" s="256"/>
      <c r="O166" s="256"/>
      <c r="P166" s="256"/>
      <c r="Q166" s="256"/>
      <c r="R166" s="256"/>
      <c r="S166" s="208"/>
      <c r="T166" s="256"/>
      <c r="U166" s="256"/>
      <c r="V166" s="256"/>
      <c r="W166" s="256"/>
      <c r="X166" s="237"/>
      <c r="Y166" s="256"/>
      <c r="Z166" s="256"/>
      <c r="AA166" s="256"/>
      <c r="AB166" s="256"/>
      <c r="AC166" s="256"/>
      <c r="AD166" s="256"/>
      <c r="AE166" s="256"/>
      <c r="AF166" s="256"/>
      <c r="AG166" s="256"/>
      <c r="AH166" s="256"/>
      <c r="AI166" s="256"/>
      <c r="AJ166" s="256"/>
      <c r="AK166" s="237"/>
      <c r="AL166" s="56"/>
      <c r="AM166" s="56"/>
      <c r="AN166" s="56"/>
      <c r="AO166" s="56"/>
      <c r="AP166" s="56"/>
      <c r="AQ166" s="56"/>
      <c r="AR166" s="56"/>
      <c r="AS166" s="56"/>
      <c r="AT166" s="56"/>
      <c r="AU166" s="56"/>
      <c r="AV166" s="56"/>
      <c r="AW166" s="56"/>
      <c r="AX166" s="56"/>
      <c r="AY166" s="208"/>
      <c r="AZ166" s="211"/>
    </row>
    <row r="167" ht="18" customHeight="1" hidden="1">
      <c r="A167" s="207"/>
      <c r="B167" s="208"/>
      <c r="C167" s="56"/>
      <c r="D167" s="56"/>
      <c r="E167" s="56"/>
      <c r="F167" s="56"/>
      <c r="G167" s="56"/>
      <c r="H167" s="56"/>
      <c r="I167" s="56"/>
      <c r="J167" s="56"/>
      <c r="K167" s="56"/>
      <c r="L167" s="256"/>
      <c r="M167" s="256"/>
      <c r="N167" s="256"/>
      <c r="O167" s="256"/>
      <c r="P167" s="256"/>
      <c r="Q167" s="256"/>
      <c r="R167" s="256"/>
      <c r="S167" s="208"/>
      <c r="T167" s="256"/>
      <c r="U167" s="256"/>
      <c r="V167" s="256"/>
      <c r="W167" s="256"/>
      <c r="X167" s="237"/>
      <c r="Y167" s="256"/>
      <c r="Z167" s="256"/>
      <c r="AA167" s="256"/>
      <c r="AB167" s="256"/>
      <c r="AC167" s="256"/>
      <c r="AD167" s="256"/>
      <c r="AE167" s="256"/>
      <c r="AF167" s="256"/>
      <c r="AG167" s="256"/>
      <c r="AH167" s="256"/>
      <c r="AI167" s="256"/>
      <c r="AJ167" s="256"/>
      <c r="AK167" s="237"/>
      <c r="AL167" s="56"/>
      <c r="AM167" s="56"/>
      <c r="AN167" s="56"/>
      <c r="AO167" s="56"/>
      <c r="AP167" s="56"/>
      <c r="AQ167" s="56"/>
      <c r="AR167" s="56"/>
      <c r="AS167" s="56"/>
      <c r="AT167" s="56"/>
      <c r="AU167" s="56"/>
      <c r="AV167" s="56"/>
      <c r="AW167" s="56"/>
      <c r="AX167" s="56"/>
      <c r="AY167" s="208"/>
      <c r="AZ167" s="211"/>
    </row>
    <row r="168" ht="18" customHeight="1" hidden="1">
      <c r="A168" s="207"/>
      <c r="B168" s="208"/>
      <c r="C168" s="56"/>
      <c r="D168" s="56"/>
      <c r="E168" s="56"/>
      <c r="F168" s="56"/>
      <c r="G168" s="56"/>
      <c r="H168" s="56"/>
      <c r="I168" s="56"/>
      <c r="J168" s="56"/>
      <c r="K168" s="56"/>
      <c r="L168" s="256"/>
      <c r="M168" s="256"/>
      <c r="N168" s="256"/>
      <c r="O168" s="256"/>
      <c r="P168" s="256"/>
      <c r="Q168" s="256"/>
      <c r="R168" s="256"/>
      <c r="S168" s="208"/>
      <c r="T168" s="256"/>
      <c r="U168" s="256"/>
      <c r="V168" s="256"/>
      <c r="W168" s="256"/>
      <c r="X168" s="237"/>
      <c r="Y168" s="256"/>
      <c r="Z168" s="256"/>
      <c r="AA168" s="256"/>
      <c r="AB168" s="256"/>
      <c r="AC168" s="256"/>
      <c r="AD168" s="256"/>
      <c r="AE168" s="256"/>
      <c r="AF168" s="256"/>
      <c r="AG168" s="256"/>
      <c r="AH168" s="256"/>
      <c r="AI168" s="256"/>
      <c r="AJ168" s="256"/>
      <c r="AK168" s="237"/>
      <c r="AL168" s="56"/>
      <c r="AM168" s="56"/>
      <c r="AN168" s="56"/>
      <c r="AO168" s="56"/>
      <c r="AP168" s="56"/>
      <c r="AQ168" s="56"/>
      <c r="AR168" s="56"/>
      <c r="AS168" s="56"/>
      <c r="AT168" s="56"/>
      <c r="AU168" s="56"/>
      <c r="AV168" s="56"/>
      <c r="AW168" s="56"/>
      <c r="AX168" s="56"/>
      <c r="AY168" s="208"/>
      <c r="AZ168" s="211"/>
    </row>
    <row r="169" ht="18" customHeight="1" hidden="1">
      <c r="A169" s="207"/>
      <c r="B169" s="208"/>
      <c r="C169" s="56"/>
      <c r="D169" s="56"/>
      <c r="E169" s="56"/>
      <c r="F169" s="56"/>
      <c r="G169" s="56"/>
      <c r="H169" s="56"/>
      <c r="I169" s="56"/>
      <c r="J169" s="56"/>
      <c r="K169" s="56"/>
      <c r="L169" s="256"/>
      <c r="M169" s="256"/>
      <c r="N169" s="256"/>
      <c r="O169" s="256"/>
      <c r="P169" s="256"/>
      <c r="Q169" s="256"/>
      <c r="R169" s="256"/>
      <c r="S169" s="208"/>
      <c r="T169" s="256"/>
      <c r="U169" s="256"/>
      <c r="V169" s="256"/>
      <c r="W169" s="256"/>
      <c r="X169" s="237"/>
      <c r="Y169" s="256"/>
      <c r="Z169" s="256"/>
      <c r="AA169" s="256"/>
      <c r="AB169" s="256"/>
      <c r="AC169" s="256"/>
      <c r="AD169" s="256"/>
      <c r="AE169" s="256"/>
      <c r="AF169" s="256"/>
      <c r="AG169" s="256"/>
      <c r="AH169" s="256"/>
      <c r="AI169" s="256"/>
      <c r="AJ169" s="256"/>
      <c r="AK169" s="237"/>
      <c r="AL169" s="56"/>
      <c r="AM169" s="56"/>
      <c r="AN169" s="56"/>
      <c r="AO169" s="56"/>
      <c r="AP169" s="56"/>
      <c r="AQ169" s="56"/>
      <c r="AR169" s="56"/>
      <c r="AS169" s="56"/>
      <c r="AT169" s="56"/>
      <c r="AU169" s="56"/>
      <c r="AV169" s="56"/>
      <c r="AW169" s="56"/>
      <c r="AX169" s="56"/>
      <c r="AY169" s="208"/>
      <c r="AZ169" s="211"/>
    </row>
    <row r="170" ht="18" customHeight="1" hidden="1">
      <c r="A170" s="207"/>
      <c r="B170" s="208"/>
      <c r="C170" s="56"/>
      <c r="D170" s="56"/>
      <c r="E170" s="56"/>
      <c r="F170" s="56"/>
      <c r="G170" s="56"/>
      <c r="H170" s="56"/>
      <c r="I170" s="56"/>
      <c r="J170" s="56"/>
      <c r="K170" s="56"/>
      <c r="L170" s="256"/>
      <c r="M170" s="256"/>
      <c r="N170" s="256"/>
      <c r="O170" s="256"/>
      <c r="P170" s="256"/>
      <c r="Q170" s="256"/>
      <c r="R170" s="256"/>
      <c r="S170" s="208"/>
      <c r="T170" s="256"/>
      <c r="U170" s="256"/>
      <c r="V170" s="256"/>
      <c r="W170" s="256"/>
      <c r="X170" s="237"/>
      <c r="Y170" s="256"/>
      <c r="Z170" s="256"/>
      <c r="AA170" s="256"/>
      <c r="AB170" s="256"/>
      <c r="AC170" s="256"/>
      <c r="AD170" s="256"/>
      <c r="AE170" s="256"/>
      <c r="AF170" s="256"/>
      <c r="AG170" s="256"/>
      <c r="AH170" s="256"/>
      <c r="AI170" s="256"/>
      <c r="AJ170" s="256"/>
      <c r="AK170" s="237"/>
      <c r="AL170" s="56"/>
      <c r="AM170" s="56"/>
      <c r="AN170" s="56"/>
      <c r="AO170" s="56"/>
      <c r="AP170" s="56"/>
      <c r="AQ170" s="56"/>
      <c r="AR170" s="56"/>
      <c r="AS170" s="56"/>
      <c r="AT170" s="56"/>
      <c r="AU170" s="56"/>
      <c r="AV170" s="56"/>
      <c r="AW170" s="56"/>
      <c r="AX170" s="56"/>
      <c r="AY170" s="208"/>
      <c r="AZ170" s="211"/>
    </row>
    <row r="171" ht="18" customHeight="1" hidden="1">
      <c r="A171" s="207"/>
      <c r="B171" s="208"/>
      <c r="C171" s="56"/>
      <c r="D171" s="56"/>
      <c r="E171" s="56"/>
      <c r="F171" s="56"/>
      <c r="G171" s="56"/>
      <c r="H171" s="56"/>
      <c r="I171" s="56"/>
      <c r="J171" s="56"/>
      <c r="K171" s="56"/>
      <c r="L171" s="256"/>
      <c r="M171" s="256"/>
      <c r="N171" s="256"/>
      <c r="O171" s="256"/>
      <c r="P171" s="256"/>
      <c r="Q171" s="256"/>
      <c r="R171" s="256"/>
      <c r="S171" s="208"/>
      <c r="T171" s="256"/>
      <c r="U171" s="256"/>
      <c r="V171" s="256"/>
      <c r="W171" s="256"/>
      <c r="X171" s="237"/>
      <c r="Y171" s="256"/>
      <c r="Z171" s="256"/>
      <c r="AA171" s="256"/>
      <c r="AB171" s="256"/>
      <c r="AC171" s="256"/>
      <c r="AD171" s="256"/>
      <c r="AE171" s="256"/>
      <c r="AF171" s="256"/>
      <c r="AG171" s="256"/>
      <c r="AH171" s="256"/>
      <c r="AI171" s="256"/>
      <c r="AJ171" s="256"/>
      <c r="AK171" s="237"/>
      <c r="AL171" s="56"/>
      <c r="AM171" s="56"/>
      <c r="AN171" s="56"/>
      <c r="AO171" s="56"/>
      <c r="AP171" s="56"/>
      <c r="AQ171" s="56"/>
      <c r="AR171" s="56"/>
      <c r="AS171" s="56"/>
      <c r="AT171" s="56"/>
      <c r="AU171" s="56"/>
      <c r="AV171" s="56"/>
      <c r="AW171" s="56"/>
      <c r="AX171" s="56"/>
      <c r="AY171" s="208"/>
      <c r="AZ171" s="211"/>
    </row>
    <row r="172" ht="18" customHeight="1" hidden="1">
      <c r="A172" s="207"/>
      <c r="B172" s="208"/>
      <c r="C172" s="56"/>
      <c r="D172" s="56"/>
      <c r="E172" s="56"/>
      <c r="F172" s="56"/>
      <c r="G172" s="56"/>
      <c r="H172" s="56"/>
      <c r="I172" s="56"/>
      <c r="J172" s="56"/>
      <c r="K172" s="56"/>
      <c r="L172" s="256"/>
      <c r="M172" s="256"/>
      <c r="N172" s="256"/>
      <c r="O172" s="256"/>
      <c r="P172" s="256"/>
      <c r="Q172" s="256"/>
      <c r="R172" s="256"/>
      <c r="S172" s="208"/>
      <c r="T172" s="256"/>
      <c r="U172" s="256"/>
      <c r="V172" s="256"/>
      <c r="W172" s="256"/>
      <c r="X172" s="237"/>
      <c r="Y172" s="256"/>
      <c r="Z172" s="256"/>
      <c r="AA172" s="256"/>
      <c r="AB172" s="256"/>
      <c r="AC172" s="256"/>
      <c r="AD172" s="256"/>
      <c r="AE172" s="256"/>
      <c r="AF172" s="256"/>
      <c r="AG172" s="256"/>
      <c r="AH172" s="256"/>
      <c r="AI172" s="256"/>
      <c r="AJ172" s="256"/>
      <c r="AK172" s="237"/>
      <c r="AL172" s="56"/>
      <c r="AM172" s="56"/>
      <c r="AN172" s="56"/>
      <c r="AO172" s="56"/>
      <c r="AP172" s="56"/>
      <c r="AQ172" s="56"/>
      <c r="AR172" s="56"/>
      <c r="AS172" s="56"/>
      <c r="AT172" s="56"/>
      <c r="AU172" s="56"/>
      <c r="AV172" s="56"/>
      <c r="AW172" s="56"/>
      <c r="AX172" s="56"/>
      <c r="AY172" s="208"/>
      <c r="AZ172" s="211"/>
    </row>
    <row r="173" ht="18" customHeight="1" hidden="1">
      <c r="A173" s="207"/>
      <c r="B173" s="208"/>
      <c r="C173" s="56"/>
      <c r="D173" s="56"/>
      <c r="E173" s="56"/>
      <c r="F173" s="56"/>
      <c r="G173" s="56"/>
      <c r="H173" s="56"/>
      <c r="I173" s="56"/>
      <c r="J173" s="56"/>
      <c r="K173" s="56"/>
      <c r="L173" s="256"/>
      <c r="M173" s="256"/>
      <c r="N173" s="256"/>
      <c r="O173" s="256"/>
      <c r="P173" s="256"/>
      <c r="Q173" s="256"/>
      <c r="R173" s="256"/>
      <c r="S173" s="208"/>
      <c r="T173" s="256"/>
      <c r="U173" s="256"/>
      <c r="V173" s="256"/>
      <c r="W173" s="256"/>
      <c r="X173" s="237"/>
      <c r="Y173" s="256"/>
      <c r="Z173" s="256"/>
      <c r="AA173" s="256"/>
      <c r="AB173" s="256"/>
      <c r="AC173" s="256"/>
      <c r="AD173" s="256"/>
      <c r="AE173" s="256"/>
      <c r="AF173" s="256"/>
      <c r="AG173" s="256"/>
      <c r="AH173" s="256"/>
      <c r="AI173" s="256"/>
      <c r="AJ173" s="256"/>
      <c r="AK173" s="237"/>
      <c r="AL173" s="56"/>
      <c r="AM173" s="56"/>
      <c r="AN173" s="56"/>
      <c r="AO173" s="56"/>
      <c r="AP173" s="56"/>
      <c r="AQ173" s="56"/>
      <c r="AR173" s="56"/>
      <c r="AS173" s="56"/>
      <c r="AT173" s="56"/>
      <c r="AU173" s="56"/>
      <c r="AV173" s="56"/>
      <c r="AW173" s="56"/>
      <c r="AX173" s="56"/>
      <c r="AY173" s="208"/>
      <c r="AZ173" s="211"/>
    </row>
    <row r="174" ht="18" customHeight="1" hidden="1">
      <c r="A174" s="207"/>
      <c r="B174" s="208"/>
      <c r="C174" s="56"/>
      <c r="D174" s="56"/>
      <c r="E174" s="56"/>
      <c r="F174" s="56"/>
      <c r="G174" s="56"/>
      <c r="H174" s="56"/>
      <c r="I174" s="56"/>
      <c r="J174" s="56"/>
      <c r="K174" s="56"/>
      <c r="L174" s="256"/>
      <c r="M174" s="256"/>
      <c r="N174" s="256"/>
      <c r="O174" s="256"/>
      <c r="P174" s="256"/>
      <c r="Q174" s="256"/>
      <c r="R174" s="256"/>
      <c r="S174" s="208"/>
      <c r="T174" s="256"/>
      <c r="U174" s="256"/>
      <c r="V174" s="256"/>
      <c r="W174" s="256"/>
      <c r="X174" s="237"/>
      <c r="Y174" s="256"/>
      <c r="Z174" s="256"/>
      <c r="AA174" s="256"/>
      <c r="AB174" s="256"/>
      <c r="AC174" s="256"/>
      <c r="AD174" s="256"/>
      <c r="AE174" s="256"/>
      <c r="AF174" s="256"/>
      <c r="AG174" s="256"/>
      <c r="AH174" s="256"/>
      <c r="AI174" s="256"/>
      <c r="AJ174" s="256"/>
      <c r="AK174" s="237"/>
      <c r="AL174" s="56"/>
      <c r="AM174" s="56"/>
      <c r="AN174" s="56"/>
      <c r="AO174" s="56"/>
      <c r="AP174" s="56"/>
      <c r="AQ174" s="56"/>
      <c r="AR174" s="56"/>
      <c r="AS174" s="56"/>
      <c r="AT174" s="56"/>
      <c r="AU174" s="56"/>
      <c r="AV174" s="56"/>
      <c r="AW174" s="56"/>
      <c r="AX174" s="56"/>
      <c r="AY174" s="208"/>
      <c r="AZ174" s="211"/>
    </row>
    <row r="175" ht="18" customHeight="1" hidden="1">
      <c r="A175" s="207"/>
      <c r="B175" s="208"/>
      <c r="C175" s="56"/>
      <c r="D175" s="56"/>
      <c r="E175" s="56"/>
      <c r="F175" s="56"/>
      <c r="G175" s="56"/>
      <c r="H175" s="56"/>
      <c r="I175" s="56"/>
      <c r="J175" s="56"/>
      <c r="K175" s="56"/>
      <c r="L175" s="256"/>
      <c r="M175" s="256"/>
      <c r="N175" s="256"/>
      <c r="O175" s="256"/>
      <c r="P175" s="256"/>
      <c r="Q175" s="256"/>
      <c r="R175" s="256"/>
      <c r="S175" s="208"/>
      <c r="T175" s="256"/>
      <c r="U175" s="256"/>
      <c r="V175" s="256"/>
      <c r="W175" s="256"/>
      <c r="X175" s="237"/>
      <c r="Y175" s="256"/>
      <c r="Z175" s="256"/>
      <c r="AA175" s="256"/>
      <c r="AB175" s="256"/>
      <c r="AC175" s="256"/>
      <c r="AD175" s="256"/>
      <c r="AE175" s="256"/>
      <c r="AF175" s="256"/>
      <c r="AG175" s="256"/>
      <c r="AH175" s="256"/>
      <c r="AI175" s="256"/>
      <c r="AJ175" s="256"/>
      <c r="AK175" s="237"/>
      <c r="AL175" s="56"/>
      <c r="AM175" s="56"/>
      <c r="AN175" s="56"/>
      <c r="AO175" s="56"/>
      <c r="AP175" s="56"/>
      <c r="AQ175" s="56"/>
      <c r="AR175" s="56"/>
      <c r="AS175" s="56"/>
      <c r="AT175" s="56"/>
      <c r="AU175" s="56"/>
      <c r="AV175" s="56"/>
      <c r="AW175" s="56"/>
      <c r="AX175" s="56"/>
      <c r="AY175" s="208"/>
      <c r="AZ175" s="211"/>
    </row>
    <row r="176" ht="18" customHeight="1" hidden="1">
      <c r="A176" s="207"/>
      <c r="B176" s="208"/>
      <c r="C176" s="56"/>
      <c r="D176" s="56"/>
      <c r="E176" s="56"/>
      <c r="F176" s="56"/>
      <c r="G176" s="56"/>
      <c r="H176" s="56"/>
      <c r="I176" s="56"/>
      <c r="J176" s="56"/>
      <c r="K176" s="56"/>
      <c r="L176" s="256"/>
      <c r="M176" s="256"/>
      <c r="N176" s="256"/>
      <c r="O176" s="256"/>
      <c r="P176" s="256"/>
      <c r="Q176" s="256"/>
      <c r="R176" s="256"/>
      <c r="S176" s="208"/>
      <c r="T176" s="256"/>
      <c r="U176" s="256"/>
      <c r="V176" s="256"/>
      <c r="W176" s="256"/>
      <c r="X176" s="237"/>
      <c r="Y176" s="256"/>
      <c r="Z176" s="256"/>
      <c r="AA176" s="256"/>
      <c r="AB176" s="256"/>
      <c r="AC176" s="256"/>
      <c r="AD176" s="256"/>
      <c r="AE176" s="256"/>
      <c r="AF176" s="256"/>
      <c r="AG176" s="256"/>
      <c r="AH176" s="256"/>
      <c r="AI176" s="256"/>
      <c r="AJ176" s="256"/>
      <c r="AK176" s="237"/>
      <c r="AL176" s="56"/>
      <c r="AM176" s="56"/>
      <c r="AN176" s="56"/>
      <c r="AO176" s="56"/>
      <c r="AP176" s="56"/>
      <c r="AQ176" s="56"/>
      <c r="AR176" s="56"/>
      <c r="AS176" s="56"/>
      <c r="AT176" s="56"/>
      <c r="AU176" s="56"/>
      <c r="AV176" s="56"/>
      <c r="AW176" s="56"/>
      <c r="AX176" s="56"/>
      <c r="AY176" s="208"/>
      <c r="AZ176" s="211"/>
    </row>
    <row r="177" ht="18" customHeight="1" hidden="1">
      <c r="A177" s="207"/>
      <c r="B177" s="208"/>
      <c r="C177" s="56"/>
      <c r="D177" s="56"/>
      <c r="E177" s="56"/>
      <c r="F177" s="56"/>
      <c r="G177" s="56"/>
      <c r="H177" s="56"/>
      <c r="I177" s="56"/>
      <c r="J177" s="56"/>
      <c r="K177" s="56"/>
      <c r="L177" s="256"/>
      <c r="M177" s="256"/>
      <c r="N177" s="256"/>
      <c r="O177" s="256"/>
      <c r="P177" s="256"/>
      <c r="Q177" s="256"/>
      <c r="R177" s="256"/>
      <c r="S177" s="208"/>
      <c r="T177" s="256"/>
      <c r="U177" s="256"/>
      <c r="V177" s="256"/>
      <c r="W177" s="256"/>
      <c r="X177" s="237"/>
      <c r="Y177" s="256"/>
      <c r="Z177" s="256"/>
      <c r="AA177" s="256"/>
      <c r="AB177" s="256"/>
      <c r="AC177" s="256"/>
      <c r="AD177" s="256"/>
      <c r="AE177" s="256"/>
      <c r="AF177" s="256"/>
      <c r="AG177" s="256"/>
      <c r="AH177" s="256"/>
      <c r="AI177" s="256"/>
      <c r="AJ177" s="256"/>
      <c r="AK177" s="237"/>
      <c r="AL177" s="56"/>
      <c r="AM177" s="56"/>
      <c r="AN177" s="56"/>
      <c r="AO177" s="56"/>
      <c r="AP177" s="56"/>
      <c r="AQ177" s="56"/>
      <c r="AR177" s="56"/>
      <c r="AS177" s="56"/>
      <c r="AT177" s="56"/>
      <c r="AU177" s="56"/>
      <c r="AV177" s="56"/>
      <c r="AW177" s="56"/>
      <c r="AX177" s="56"/>
      <c r="AY177" s="208"/>
      <c r="AZ177" s="211"/>
    </row>
    <row r="178" ht="18" customHeight="1" hidden="1">
      <c r="A178" s="207"/>
      <c r="B178" s="208"/>
      <c r="C178" s="56"/>
      <c r="D178" s="56"/>
      <c r="E178" s="56"/>
      <c r="F178" s="56"/>
      <c r="G178" s="56"/>
      <c r="H178" s="56"/>
      <c r="I178" s="56"/>
      <c r="J178" s="56"/>
      <c r="K178" s="56"/>
      <c r="L178" s="256"/>
      <c r="M178" s="256"/>
      <c r="N178" s="256"/>
      <c r="O178" s="256"/>
      <c r="P178" s="256"/>
      <c r="Q178" s="256"/>
      <c r="R178" s="256"/>
      <c r="S178" s="208"/>
      <c r="T178" s="256"/>
      <c r="U178" s="256"/>
      <c r="V178" s="256"/>
      <c r="W178" s="256"/>
      <c r="X178" s="237"/>
      <c r="Y178" s="256"/>
      <c r="Z178" s="256"/>
      <c r="AA178" s="256"/>
      <c r="AB178" s="256"/>
      <c r="AC178" s="256"/>
      <c r="AD178" s="256"/>
      <c r="AE178" s="256"/>
      <c r="AF178" s="256"/>
      <c r="AG178" s="256"/>
      <c r="AH178" s="256"/>
      <c r="AI178" s="256"/>
      <c r="AJ178" s="256"/>
      <c r="AK178" s="237"/>
      <c r="AL178" s="56"/>
      <c r="AM178" s="56"/>
      <c r="AN178" s="56"/>
      <c r="AO178" s="56"/>
      <c r="AP178" s="56"/>
      <c r="AQ178" s="56"/>
      <c r="AR178" s="56"/>
      <c r="AS178" s="56"/>
      <c r="AT178" s="56"/>
      <c r="AU178" s="56"/>
      <c r="AV178" s="56"/>
      <c r="AW178" s="56"/>
      <c r="AX178" s="56"/>
      <c r="AY178" s="208"/>
      <c r="AZ178" s="211"/>
    </row>
    <row r="179" ht="18" customHeight="1" hidden="1">
      <c r="A179" s="207"/>
      <c r="B179" s="208"/>
      <c r="C179" s="56"/>
      <c r="D179" s="56"/>
      <c r="E179" s="56"/>
      <c r="F179" s="56"/>
      <c r="G179" s="56"/>
      <c r="H179" s="56"/>
      <c r="I179" s="56"/>
      <c r="J179" s="56"/>
      <c r="K179" s="56"/>
      <c r="L179" s="256"/>
      <c r="M179" s="256"/>
      <c r="N179" s="256"/>
      <c r="O179" s="256"/>
      <c r="P179" s="256"/>
      <c r="Q179" s="256"/>
      <c r="R179" s="256"/>
      <c r="S179" s="208"/>
      <c r="T179" s="256"/>
      <c r="U179" s="256"/>
      <c r="V179" s="256"/>
      <c r="W179" s="256"/>
      <c r="X179" s="237"/>
      <c r="Y179" s="256"/>
      <c r="Z179" s="256"/>
      <c r="AA179" s="256"/>
      <c r="AB179" s="256"/>
      <c r="AC179" s="256"/>
      <c r="AD179" s="256"/>
      <c r="AE179" s="256"/>
      <c r="AF179" s="256"/>
      <c r="AG179" s="256"/>
      <c r="AH179" s="256"/>
      <c r="AI179" s="256"/>
      <c r="AJ179" s="256"/>
      <c r="AK179" s="237"/>
      <c r="AL179" s="56"/>
      <c r="AM179" s="56"/>
      <c r="AN179" s="56"/>
      <c r="AO179" s="56"/>
      <c r="AP179" s="56"/>
      <c r="AQ179" s="56"/>
      <c r="AR179" s="56"/>
      <c r="AS179" s="56"/>
      <c r="AT179" s="56"/>
      <c r="AU179" s="56"/>
      <c r="AV179" s="56"/>
      <c r="AW179" s="56"/>
      <c r="AX179" s="56"/>
      <c r="AY179" s="208"/>
      <c r="AZ179" s="211"/>
    </row>
    <row r="180" ht="18" customHeight="1" hidden="1">
      <c r="A180" s="207"/>
      <c r="B180" s="208"/>
      <c r="C180" s="56"/>
      <c r="D180" s="56"/>
      <c r="E180" s="56"/>
      <c r="F180" s="56"/>
      <c r="G180" s="56"/>
      <c r="H180" s="56"/>
      <c r="I180" s="56"/>
      <c r="J180" s="56"/>
      <c r="K180" s="56"/>
      <c r="L180" s="256"/>
      <c r="M180" s="256"/>
      <c r="N180" s="256"/>
      <c r="O180" s="256"/>
      <c r="P180" s="256"/>
      <c r="Q180" s="256"/>
      <c r="R180" s="256"/>
      <c r="S180" s="208"/>
      <c r="T180" s="256"/>
      <c r="U180" s="256"/>
      <c r="V180" s="256"/>
      <c r="W180" s="256"/>
      <c r="X180" s="237"/>
      <c r="Y180" s="256"/>
      <c r="Z180" s="256"/>
      <c r="AA180" s="256"/>
      <c r="AB180" s="256"/>
      <c r="AC180" s="256"/>
      <c r="AD180" s="256"/>
      <c r="AE180" s="256"/>
      <c r="AF180" s="256"/>
      <c r="AG180" s="256"/>
      <c r="AH180" s="256"/>
      <c r="AI180" s="256"/>
      <c r="AJ180" s="256"/>
      <c r="AK180" s="237"/>
      <c r="AL180" s="56"/>
      <c r="AM180" s="56"/>
      <c r="AN180" s="56"/>
      <c r="AO180" s="56"/>
      <c r="AP180" s="56"/>
      <c r="AQ180" s="56"/>
      <c r="AR180" s="56"/>
      <c r="AS180" s="56"/>
      <c r="AT180" s="56"/>
      <c r="AU180" s="56"/>
      <c r="AV180" s="56"/>
      <c r="AW180" s="56"/>
      <c r="AX180" s="56"/>
      <c r="AY180" s="208"/>
      <c r="AZ180" s="211"/>
    </row>
    <row r="181" ht="18" customHeight="1" hidden="1">
      <c r="A181" s="207"/>
      <c r="B181" s="208"/>
      <c r="C181" s="56"/>
      <c r="D181" s="56"/>
      <c r="E181" s="56"/>
      <c r="F181" s="56"/>
      <c r="G181" s="56"/>
      <c r="H181" s="56"/>
      <c r="I181" s="56"/>
      <c r="J181" s="56"/>
      <c r="K181" s="56"/>
      <c r="L181" s="256"/>
      <c r="M181" s="256"/>
      <c r="N181" s="256"/>
      <c r="O181" s="256"/>
      <c r="P181" s="256"/>
      <c r="Q181" s="256"/>
      <c r="R181" s="256"/>
      <c r="S181" s="208"/>
      <c r="T181" s="256"/>
      <c r="U181" s="256"/>
      <c r="V181" s="256"/>
      <c r="W181" s="256"/>
      <c r="X181" s="237"/>
      <c r="Y181" s="256"/>
      <c r="Z181" s="256"/>
      <c r="AA181" s="256"/>
      <c r="AB181" s="256"/>
      <c r="AC181" s="256"/>
      <c r="AD181" s="256"/>
      <c r="AE181" s="256"/>
      <c r="AF181" s="256"/>
      <c r="AG181" s="256"/>
      <c r="AH181" s="256"/>
      <c r="AI181" s="256"/>
      <c r="AJ181" s="256"/>
      <c r="AK181" s="237"/>
      <c r="AL181" s="56"/>
      <c r="AM181" s="56"/>
      <c r="AN181" s="56"/>
      <c r="AO181" s="56"/>
      <c r="AP181" s="56"/>
      <c r="AQ181" s="56"/>
      <c r="AR181" s="56"/>
      <c r="AS181" s="56"/>
      <c r="AT181" s="56"/>
      <c r="AU181" s="56"/>
      <c r="AV181" s="56"/>
      <c r="AW181" s="56"/>
      <c r="AX181" s="56"/>
      <c r="AY181" s="208"/>
      <c r="AZ181" s="211"/>
    </row>
    <row r="182" ht="18" customHeight="1" hidden="1">
      <c r="A182" s="207"/>
      <c r="B182" s="208"/>
      <c r="C182" s="56"/>
      <c r="D182" s="56"/>
      <c r="E182" s="56"/>
      <c r="F182" s="56"/>
      <c r="G182" s="56"/>
      <c r="H182" s="56"/>
      <c r="I182" s="56"/>
      <c r="J182" s="56"/>
      <c r="K182" s="56"/>
      <c r="L182" s="256"/>
      <c r="M182" s="256"/>
      <c r="N182" s="256"/>
      <c r="O182" s="256"/>
      <c r="P182" s="256"/>
      <c r="Q182" s="256"/>
      <c r="R182" s="256"/>
      <c r="S182" s="208"/>
      <c r="T182" s="256"/>
      <c r="U182" s="256"/>
      <c r="V182" s="256"/>
      <c r="W182" s="256"/>
      <c r="X182" s="237"/>
      <c r="Y182" s="256"/>
      <c r="Z182" s="256"/>
      <c r="AA182" s="256"/>
      <c r="AB182" s="256"/>
      <c r="AC182" s="256"/>
      <c r="AD182" s="256"/>
      <c r="AE182" s="256"/>
      <c r="AF182" s="256"/>
      <c r="AG182" s="256"/>
      <c r="AH182" s="256"/>
      <c r="AI182" s="256"/>
      <c r="AJ182" s="256"/>
      <c r="AK182" s="237"/>
      <c r="AL182" s="56"/>
      <c r="AM182" s="56"/>
      <c r="AN182" s="56"/>
      <c r="AO182" s="56"/>
      <c r="AP182" s="56"/>
      <c r="AQ182" s="56"/>
      <c r="AR182" s="56"/>
      <c r="AS182" s="56"/>
      <c r="AT182" s="56"/>
      <c r="AU182" s="56"/>
      <c r="AV182" s="56"/>
      <c r="AW182" s="56"/>
      <c r="AX182" s="56"/>
      <c r="AY182" s="208"/>
      <c r="AZ182" s="211"/>
    </row>
    <row r="183" ht="18" customHeight="1" hidden="1">
      <c r="A183" s="207"/>
      <c r="B183" s="208"/>
      <c r="C183" s="56"/>
      <c r="D183" s="56"/>
      <c r="E183" s="56"/>
      <c r="F183" s="56"/>
      <c r="G183" s="56"/>
      <c r="H183" s="56"/>
      <c r="I183" s="56"/>
      <c r="J183" s="56"/>
      <c r="K183" s="56"/>
      <c r="L183" s="256"/>
      <c r="M183" s="256"/>
      <c r="N183" s="256"/>
      <c r="O183" s="256"/>
      <c r="P183" s="256"/>
      <c r="Q183" s="256"/>
      <c r="R183" s="256"/>
      <c r="S183" s="208"/>
      <c r="T183" s="256"/>
      <c r="U183" s="256"/>
      <c r="V183" s="256"/>
      <c r="W183" s="256"/>
      <c r="X183" s="237"/>
      <c r="Y183" s="256"/>
      <c r="Z183" s="256"/>
      <c r="AA183" s="256"/>
      <c r="AB183" s="256"/>
      <c r="AC183" s="256"/>
      <c r="AD183" s="256"/>
      <c r="AE183" s="256"/>
      <c r="AF183" s="256"/>
      <c r="AG183" s="256"/>
      <c r="AH183" s="256"/>
      <c r="AI183" s="256"/>
      <c r="AJ183" s="256"/>
      <c r="AK183" s="237"/>
      <c r="AL183" s="56"/>
      <c r="AM183" s="56"/>
      <c r="AN183" s="56"/>
      <c r="AO183" s="56"/>
      <c r="AP183" s="56"/>
      <c r="AQ183" s="56"/>
      <c r="AR183" s="56"/>
      <c r="AS183" s="56"/>
      <c r="AT183" s="56"/>
      <c r="AU183" s="56"/>
      <c r="AV183" s="56"/>
      <c r="AW183" s="56"/>
      <c r="AX183" s="56"/>
      <c r="AY183" s="208"/>
      <c r="AZ183" s="211"/>
    </row>
    <row r="184" ht="18" customHeight="1" hidden="1">
      <c r="A184" s="207"/>
      <c r="B184" s="208"/>
      <c r="C184" s="56"/>
      <c r="D184" s="56"/>
      <c r="E184" s="56"/>
      <c r="F184" s="56"/>
      <c r="G184" s="56"/>
      <c r="H184" s="56"/>
      <c r="I184" s="56"/>
      <c r="J184" s="56"/>
      <c r="K184" s="56"/>
      <c r="L184" s="256"/>
      <c r="M184" s="256"/>
      <c r="N184" s="256"/>
      <c r="O184" s="256"/>
      <c r="P184" s="256"/>
      <c r="Q184" s="256"/>
      <c r="R184" s="256"/>
      <c r="S184" s="208"/>
      <c r="T184" s="256"/>
      <c r="U184" s="256"/>
      <c r="V184" s="256"/>
      <c r="W184" s="256"/>
      <c r="X184" s="237"/>
      <c r="Y184" s="256"/>
      <c r="Z184" s="256"/>
      <c r="AA184" s="256"/>
      <c r="AB184" s="256"/>
      <c r="AC184" s="256"/>
      <c r="AD184" s="256"/>
      <c r="AE184" s="256"/>
      <c r="AF184" s="256"/>
      <c r="AG184" s="256"/>
      <c r="AH184" s="256"/>
      <c r="AI184" s="256"/>
      <c r="AJ184" s="256"/>
      <c r="AK184" s="237"/>
      <c r="AL184" s="56"/>
      <c r="AM184" s="56"/>
      <c r="AN184" s="56"/>
      <c r="AO184" s="56"/>
      <c r="AP184" s="56"/>
      <c r="AQ184" s="56"/>
      <c r="AR184" s="56"/>
      <c r="AS184" s="56"/>
      <c r="AT184" s="56"/>
      <c r="AU184" s="56"/>
      <c r="AV184" s="56"/>
      <c r="AW184" s="56"/>
      <c r="AX184" s="56"/>
      <c r="AY184" s="208"/>
      <c r="AZ184" s="211"/>
    </row>
    <row r="185" ht="18" customHeight="1" hidden="1">
      <c r="A185" s="207"/>
      <c r="B185" s="208"/>
      <c r="C185" s="56"/>
      <c r="D185" s="56"/>
      <c r="E185" s="56"/>
      <c r="F185" s="56"/>
      <c r="G185" s="56"/>
      <c r="H185" s="56"/>
      <c r="I185" s="56"/>
      <c r="J185" s="56"/>
      <c r="K185" s="56"/>
      <c r="L185" s="256"/>
      <c r="M185" s="256"/>
      <c r="N185" s="256"/>
      <c r="O185" s="256"/>
      <c r="P185" s="256"/>
      <c r="Q185" s="256"/>
      <c r="R185" s="256"/>
      <c r="S185" s="208"/>
      <c r="T185" s="256"/>
      <c r="U185" s="256"/>
      <c r="V185" s="256"/>
      <c r="W185" s="256"/>
      <c r="X185" s="237"/>
      <c r="Y185" s="256"/>
      <c r="Z185" s="256"/>
      <c r="AA185" s="256"/>
      <c r="AB185" s="256"/>
      <c r="AC185" s="256"/>
      <c r="AD185" s="256"/>
      <c r="AE185" s="256"/>
      <c r="AF185" s="256"/>
      <c r="AG185" s="256"/>
      <c r="AH185" s="256"/>
      <c r="AI185" s="256"/>
      <c r="AJ185" s="256"/>
      <c r="AK185" s="237"/>
      <c r="AL185" s="56"/>
      <c r="AM185" s="56"/>
      <c r="AN185" s="56"/>
      <c r="AO185" s="56"/>
      <c r="AP185" s="56"/>
      <c r="AQ185" s="56"/>
      <c r="AR185" s="56"/>
      <c r="AS185" s="56"/>
      <c r="AT185" s="56"/>
      <c r="AU185" s="56"/>
      <c r="AV185" s="56"/>
      <c r="AW185" s="56"/>
      <c r="AX185" s="56"/>
      <c r="AY185" s="208"/>
      <c r="AZ185" s="211"/>
    </row>
    <row r="186" ht="18" customHeight="1" hidden="1">
      <c r="A186" s="207"/>
      <c r="B186" s="208"/>
      <c r="C186" s="56"/>
      <c r="D186" s="56"/>
      <c r="E186" s="56"/>
      <c r="F186" s="56"/>
      <c r="G186" s="56"/>
      <c r="H186" s="56"/>
      <c r="I186" s="56"/>
      <c r="J186" s="56"/>
      <c r="K186" s="56"/>
      <c r="L186" s="256"/>
      <c r="M186" s="256"/>
      <c r="N186" s="256"/>
      <c r="O186" s="256"/>
      <c r="P186" s="256"/>
      <c r="Q186" s="256"/>
      <c r="R186" s="256"/>
      <c r="S186" s="208"/>
      <c r="T186" s="256"/>
      <c r="U186" s="256"/>
      <c r="V186" s="256"/>
      <c r="W186" s="256"/>
      <c r="X186" s="237"/>
      <c r="Y186" s="256"/>
      <c r="Z186" s="256"/>
      <c r="AA186" s="256"/>
      <c r="AB186" s="256"/>
      <c r="AC186" s="256"/>
      <c r="AD186" s="256"/>
      <c r="AE186" s="256"/>
      <c r="AF186" s="256"/>
      <c r="AG186" s="256"/>
      <c r="AH186" s="256"/>
      <c r="AI186" s="256"/>
      <c r="AJ186" s="256"/>
      <c r="AK186" s="237"/>
      <c r="AL186" s="56"/>
      <c r="AM186" s="56"/>
      <c r="AN186" s="56"/>
      <c r="AO186" s="56"/>
      <c r="AP186" s="56"/>
      <c r="AQ186" s="56"/>
      <c r="AR186" s="56"/>
      <c r="AS186" s="56"/>
      <c r="AT186" s="56"/>
      <c r="AU186" s="56"/>
      <c r="AV186" s="56"/>
      <c r="AW186" s="56"/>
      <c r="AX186" s="56"/>
      <c r="AY186" s="208"/>
      <c r="AZ186" s="211"/>
    </row>
    <row r="187" ht="18" customHeight="1" hidden="1">
      <c r="A187" s="207"/>
      <c r="B187" s="208"/>
      <c r="C187" s="56"/>
      <c r="D187" s="56"/>
      <c r="E187" s="56"/>
      <c r="F187" s="56"/>
      <c r="G187" s="56"/>
      <c r="H187" s="56"/>
      <c r="I187" s="56"/>
      <c r="J187" s="56"/>
      <c r="K187" s="56"/>
      <c r="L187" s="256"/>
      <c r="M187" s="256"/>
      <c r="N187" s="256"/>
      <c r="O187" s="256"/>
      <c r="P187" s="256"/>
      <c r="Q187" s="256"/>
      <c r="R187" s="256"/>
      <c r="S187" s="208"/>
      <c r="T187" s="256"/>
      <c r="U187" s="256"/>
      <c r="V187" s="256"/>
      <c r="W187" s="256"/>
      <c r="X187" s="237"/>
      <c r="Y187" s="256"/>
      <c r="Z187" s="256"/>
      <c r="AA187" s="256"/>
      <c r="AB187" s="256"/>
      <c r="AC187" s="256"/>
      <c r="AD187" s="256"/>
      <c r="AE187" s="256"/>
      <c r="AF187" s="256"/>
      <c r="AG187" s="256"/>
      <c r="AH187" s="256"/>
      <c r="AI187" s="256"/>
      <c r="AJ187" s="256"/>
      <c r="AK187" s="237"/>
      <c r="AL187" s="56"/>
      <c r="AM187" s="56"/>
      <c r="AN187" s="56"/>
      <c r="AO187" s="56"/>
      <c r="AP187" s="56"/>
      <c r="AQ187" s="56"/>
      <c r="AR187" s="56"/>
      <c r="AS187" s="56"/>
      <c r="AT187" s="56"/>
      <c r="AU187" s="56"/>
      <c r="AV187" s="56"/>
      <c r="AW187" s="56"/>
      <c r="AX187" s="56"/>
      <c r="AY187" s="208"/>
      <c r="AZ187" s="211"/>
    </row>
    <row r="188" ht="18" customHeight="1" hidden="1">
      <c r="A188" s="207"/>
      <c r="B188" s="208"/>
      <c r="C188" s="56"/>
      <c r="D188" s="56"/>
      <c r="E188" s="56"/>
      <c r="F188" s="56"/>
      <c r="G188" s="56"/>
      <c r="H188" s="56"/>
      <c r="I188" s="56"/>
      <c r="J188" s="56"/>
      <c r="K188" s="56"/>
      <c r="L188" s="256"/>
      <c r="M188" s="256"/>
      <c r="N188" s="256"/>
      <c r="O188" s="256"/>
      <c r="P188" s="256"/>
      <c r="Q188" s="256"/>
      <c r="R188" s="256"/>
      <c r="S188" s="208"/>
      <c r="T188" s="256"/>
      <c r="U188" s="256"/>
      <c r="V188" s="256"/>
      <c r="W188" s="256"/>
      <c r="X188" s="237"/>
      <c r="Y188" s="256"/>
      <c r="Z188" s="256"/>
      <c r="AA188" s="256"/>
      <c r="AB188" s="256"/>
      <c r="AC188" s="256"/>
      <c r="AD188" s="256"/>
      <c r="AE188" s="256"/>
      <c r="AF188" s="256"/>
      <c r="AG188" s="256"/>
      <c r="AH188" s="256"/>
      <c r="AI188" s="256"/>
      <c r="AJ188" s="256"/>
      <c r="AK188" s="237"/>
      <c r="AL188" s="56"/>
      <c r="AM188" s="56"/>
      <c r="AN188" s="56"/>
      <c r="AO188" s="56"/>
      <c r="AP188" s="56"/>
      <c r="AQ188" s="56"/>
      <c r="AR188" s="56"/>
      <c r="AS188" s="56"/>
      <c r="AT188" s="56"/>
      <c r="AU188" s="56"/>
      <c r="AV188" s="56"/>
      <c r="AW188" s="56"/>
      <c r="AX188" s="56"/>
      <c r="AY188" s="208"/>
      <c r="AZ188" s="211"/>
    </row>
    <row r="189" ht="18" customHeight="1" hidden="1">
      <c r="A189" s="207"/>
      <c r="B189" s="208"/>
      <c r="C189" s="56"/>
      <c r="D189" s="56"/>
      <c r="E189" s="56"/>
      <c r="F189" s="56"/>
      <c r="G189" s="56"/>
      <c r="H189" s="56"/>
      <c r="I189" s="56"/>
      <c r="J189" s="56"/>
      <c r="K189" s="56"/>
      <c r="L189" s="256"/>
      <c r="M189" s="256"/>
      <c r="N189" s="256"/>
      <c r="O189" s="256"/>
      <c r="P189" s="256"/>
      <c r="Q189" s="256"/>
      <c r="R189" s="256"/>
      <c r="S189" s="208"/>
      <c r="T189" s="256"/>
      <c r="U189" s="256"/>
      <c r="V189" s="256"/>
      <c r="W189" s="256"/>
      <c r="X189" s="237"/>
      <c r="Y189" s="256"/>
      <c r="Z189" s="256"/>
      <c r="AA189" s="256"/>
      <c r="AB189" s="256"/>
      <c r="AC189" s="256"/>
      <c r="AD189" s="256"/>
      <c r="AE189" s="256"/>
      <c r="AF189" s="256"/>
      <c r="AG189" s="256"/>
      <c r="AH189" s="256"/>
      <c r="AI189" s="256"/>
      <c r="AJ189" s="256"/>
      <c r="AK189" s="237"/>
      <c r="AL189" s="56"/>
      <c r="AM189" s="56"/>
      <c r="AN189" s="56"/>
      <c r="AO189" s="56"/>
      <c r="AP189" s="56"/>
      <c r="AQ189" s="56"/>
      <c r="AR189" s="56"/>
      <c r="AS189" s="56"/>
      <c r="AT189" s="56"/>
      <c r="AU189" s="56"/>
      <c r="AV189" s="56"/>
      <c r="AW189" s="56"/>
      <c r="AX189" s="56"/>
      <c r="AY189" s="208"/>
      <c r="AZ189" s="211"/>
    </row>
    <row r="190" ht="18" customHeight="1" hidden="1">
      <c r="A190" s="207"/>
      <c r="B190" s="208"/>
      <c r="C190" s="56"/>
      <c r="D190" s="56"/>
      <c r="E190" s="56"/>
      <c r="F190" s="56"/>
      <c r="G190" s="56"/>
      <c r="H190" s="56"/>
      <c r="I190" s="56"/>
      <c r="J190" s="56"/>
      <c r="K190" s="56"/>
      <c r="L190" s="256"/>
      <c r="M190" s="256"/>
      <c r="N190" s="256"/>
      <c r="O190" s="256"/>
      <c r="P190" s="256"/>
      <c r="Q190" s="256"/>
      <c r="R190" s="256"/>
      <c r="S190" s="208"/>
      <c r="T190" s="256"/>
      <c r="U190" s="256"/>
      <c r="V190" s="256"/>
      <c r="W190" s="256"/>
      <c r="X190" s="237"/>
      <c r="Y190" s="256"/>
      <c r="Z190" s="256"/>
      <c r="AA190" s="256"/>
      <c r="AB190" s="256"/>
      <c r="AC190" s="256"/>
      <c r="AD190" s="256"/>
      <c r="AE190" s="256"/>
      <c r="AF190" s="256"/>
      <c r="AG190" s="256"/>
      <c r="AH190" s="256"/>
      <c r="AI190" s="256"/>
      <c r="AJ190" s="256"/>
      <c r="AK190" s="237"/>
      <c r="AL190" s="56"/>
      <c r="AM190" s="56"/>
      <c r="AN190" s="56"/>
      <c r="AO190" s="56"/>
      <c r="AP190" s="56"/>
      <c r="AQ190" s="56"/>
      <c r="AR190" s="56"/>
      <c r="AS190" s="56"/>
      <c r="AT190" s="56"/>
      <c r="AU190" s="56"/>
      <c r="AV190" s="56"/>
      <c r="AW190" s="56"/>
      <c r="AX190" s="56"/>
      <c r="AY190" s="208"/>
      <c r="AZ190" s="211"/>
    </row>
    <row r="191" ht="18" customHeight="1" hidden="1">
      <c r="A191" s="207"/>
      <c r="B191" s="208"/>
      <c r="C191" s="56"/>
      <c r="D191" s="56"/>
      <c r="E191" s="56"/>
      <c r="F191" s="56"/>
      <c r="G191" s="56"/>
      <c r="H191" s="56"/>
      <c r="I191" s="56"/>
      <c r="J191" s="56"/>
      <c r="K191" s="56"/>
      <c r="L191" s="256"/>
      <c r="M191" s="256"/>
      <c r="N191" s="256"/>
      <c r="O191" s="256"/>
      <c r="P191" s="256"/>
      <c r="Q191" s="256"/>
      <c r="R191" s="256"/>
      <c r="S191" s="208"/>
      <c r="T191" s="256"/>
      <c r="U191" s="256"/>
      <c r="V191" s="256"/>
      <c r="W191" s="256"/>
      <c r="X191" s="237"/>
      <c r="Y191" s="256"/>
      <c r="Z191" s="256"/>
      <c r="AA191" s="256"/>
      <c r="AB191" s="256"/>
      <c r="AC191" s="256"/>
      <c r="AD191" s="256"/>
      <c r="AE191" s="256"/>
      <c r="AF191" s="256"/>
      <c r="AG191" s="256"/>
      <c r="AH191" s="256"/>
      <c r="AI191" s="256"/>
      <c r="AJ191" s="256"/>
      <c r="AK191" s="237"/>
      <c r="AL191" s="56"/>
      <c r="AM191" s="56"/>
      <c r="AN191" s="56"/>
      <c r="AO191" s="56"/>
      <c r="AP191" s="56"/>
      <c r="AQ191" s="56"/>
      <c r="AR191" s="56"/>
      <c r="AS191" s="56"/>
      <c r="AT191" s="56"/>
      <c r="AU191" s="56"/>
      <c r="AV191" s="56"/>
      <c r="AW191" s="56"/>
      <c r="AX191" s="56"/>
      <c r="AY191" s="208"/>
      <c r="AZ191" s="211"/>
    </row>
    <row r="192" ht="18" customHeight="1" hidden="1">
      <c r="A192" s="207"/>
      <c r="B192" s="208"/>
      <c r="C192" s="56"/>
      <c r="D192" s="56"/>
      <c r="E192" s="56"/>
      <c r="F192" s="56"/>
      <c r="G192" s="56"/>
      <c r="H192" s="56"/>
      <c r="I192" s="56"/>
      <c r="J192" s="56"/>
      <c r="K192" s="56"/>
      <c r="L192" s="256"/>
      <c r="M192" s="256"/>
      <c r="N192" s="256"/>
      <c r="O192" s="256"/>
      <c r="P192" s="256"/>
      <c r="Q192" s="256"/>
      <c r="R192" s="256"/>
      <c r="S192" s="208"/>
      <c r="T192" s="256"/>
      <c r="U192" s="256"/>
      <c r="V192" s="256"/>
      <c r="W192" s="256"/>
      <c r="X192" s="237"/>
      <c r="Y192" s="256"/>
      <c r="Z192" s="256"/>
      <c r="AA192" s="256"/>
      <c r="AB192" s="256"/>
      <c r="AC192" s="256"/>
      <c r="AD192" s="256"/>
      <c r="AE192" s="256"/>
      <c r="AF192" s="256"/>
      <c r="AG192" s="256"/>
      <c r="AH192" s="256"/>
      <c r="AI192" s="256"/>
      <c r="AJ192" s="256"/>
      <c r="AK192" s="237"/>
      <c r="AL192" s="56"/>
      <c r="AM192" s="56"/>
      <c r="AN192" s="56"/>
      <c r="AO192" s="56"/>
      <c r="AP192" s="56"/>
      <c r="AQ192" s="56"/>
      <c r="AR192" s="56"/>
      <c r="AS192" s="56"/>
      <c r="AT192" s="56"/>
      <c r="AU192" s="56"/>
      <c r="AV192" s="56"/>
      <c r="AW192" s="56"/>
      <c r="AX192" s="56"/>
      <c r="AY192" s="208"/>
      <c r="AZ192" s="211"/>
    </row>
    <row r="193" ht="18" customHeight="1" hidden="1">
      <c r="A193" s="207"/>
      <c r="B193" s="208"/>
      <c r="C193" s="56"/>
      <c r="D193" s="56"/>
      <c r="E193" s="56"/>
      <c r="F193" s="56"/>
      <c r="G193" s="56"/>
      <c r="H193" s="56"/>
      <c r="I193" s="56"/>
      <c r="J193" s="56"/>
      <c r="K193" s="56"/>
      <c r="L193" s="256"/>
      <c r="M193" s="256"/>
      <c r="N193" s="256"/>
      <c r="O193" s="256"/>
      <c r="P193" s="256"/>
      <c r="Q193" s="256"/>
      <c r="R193" s="256"/>
      <c r="S193" s="208"/>
      <c r="T193" s="256"/>
      <c r="U193" s="256"/>
      <c r="V193" s="256"/>
      <c r="W193" s="256"/>
      <c r="X193" s="237"/>
      <c r="Y193" s="256"/>
      <c r="Z193" s="256"/>
      <c r="AA193" s="256"/>
      <c r="AB193" s="256"/>
      <c r="AC193" s="256"/>
      <c r="AD193" s="256"/>
      <c r="AE193" s="256"/>
      <c r="AF193" s="256"/>
      <c r="AG193" s="256"/>
      <c r="AH193" s="256"/>
      <c r="AI193" s="256"/>
      <c r="AJ193" s="256"/>
      <c r="AK193" s="237"/>
      <c r="AL193" s="56"/>
      <c r="AM193" s="56"/>
      <c r="AN193" s="56"/>
      <c r="AO193" s="56"/>
      <c r="AP193" s="56"/>
      <c r="AQ193" s="56"/>
      <c r="AR193" s="56"/>
      <c r="AS193" s="56"/>
      <c r="AT193" s="56"/>
      <c r="AU193" s="56"/>
      <c r="AV193" s="56"/>
      <c r="AW193" s="56"/>
      <c r="AX193" s="56"/>
      <c r="AY193" s="208"/>
      <c r="AZ193" s="211"/>
    </row>
    <row r="194" ht="18" customHeight="1" hidden="1">
      <c r="A194" s="207"/>
      <c r="B194" s="208"/>
      <c r="C194" s="56"/>
      <c r="D194" s="56"/>
      <c r="E194" s="56"/>
      <c r="F194" s="56"/>
      <c r="G194" s="56"/>
      <c r="H194" s="56"/>
      <c r="I194" s="56"/>
      <c r="J194" s="56"/>
      <c r="K194" s="56"/>
      <c r="L194" s="256"/>
      <c r="M194" s="256"/>
      <c r="N194" s="256"/>
      <c r="O194" s="256"/>
      <c r="P194" s="256"/>
      <c r="Q194" s="256"/>
      <c r="R194" s="256"/>
      <c r="S194" s="208"/>
      <c r="T194" s="256"/>
      <c r="U194" s="256"/>
      <c r="V194" s="256"/>
      <c r="W194" s="256"/>
      <c r="X194" s="237"/>
      <c r="Y194" s="256"/>
      <c r="Z194" s="256"/>
      <c r="AA194" s="256"/>
      <c r="AB194" s="256"/>
      <c r="AC194" s="256"/>
      <c r="AD194" s="256"/>
      <c r="AE194" s="256"/>
      <c r="AF194" s="256"/>
      <c r="AG194" s="256"/>
      <c r="AH194" s="256"/>
      <c r="AI194" s="256"/>
      <c r="AJ194" s="256"/>
      <c r="AK194" s="237"/>
      <c r="AL194" s="56"/>
      <c r="AM194" s="56"/>
      <c r="AN194" s="56"/>
      <c r="AO194" s="56"/>
      <c r="AP194" s="56"/>
      <c r="AQ194" s="56"/>
      <c r="AR194" s="56"/>
      <c r="AS194" s="56"/>
      <c r="AT194" s="56"/>
      <c r="AU194" s="56"/>
      <c r="AV194" s="56"/>
      <c r="AW194" s="56"/>
      <c r="AX194" s="56"/>
      <c r="AY194" s="208"/>
      <c r="AZ194" s="211"/>
    </row>
    <row r="195" ht="18" customHeight="1" hidden="1">
      <c r="A195" s="207"/>
      <c r="B195" s="208"/>
      <c r="C195" s="56"/>
      <c r="D195" s="56"/>
      <c r="E195" s="56"/>
      <c r="F195" s="56"/>
      <c r="G195" s="56"/>
      <c r="H195" s="56"/>
      <c r="I195" s="56"/>
      <c r="J195" s="56"/>
      <c r="K195" s="56"/>
      <c r="L195" s="256"/>
      <c r="M195" s="256"/>
      <c r="N195" s="256"/>
      <c r="O195" s="256"/>
      <c r="P195" s="256"/>
      <c r="Q195" s="256"/>
      <c r="R195" s="256"/>
      <c r="S195" s="208"/>
      <c r="T195" s="256"/>
      <c r="U195" s="256"/>
      <c r="V195" s="256"/>
      <c r="W195" s="256"/>
      <c r="X195" s="237"/>
      <c r="Y195" s="256"/>
      <c r="Z195" s="256"/>
      <c r="AA195" s="256"/>
      <c r="AB195" s="256"/>
      <c r="AC195" s="256"/>
      <c r="AD195" s="256"/>
      <c r="AE195" s="256"/>
      <c r="AF195" s="256"/>
      <c r="AG195" s="256"/>
      <c r="AH195" s="256"/>
      <c r="AI195" s="256"/>
      <c r="AJ195" s="256"/>
      <c r="AK195" s="237"/>
      <c r="AL195" s="56"/>
      <c r="AM195" s="56"/>
      <c r="AN195" s="56"/>
      <c r="AO195" s="56"/>
      <c r="AP195" s="56"/>
      <c r="AQ195" s="56"/>
      <c r="AR195" s="56"/>
      <c r="AS195" s="56"/>
      <c r="AT195" s="56"/>
      <c r="AU195" s="56"/>
      <c r="AV195" s="56"/>
      <c r="AW195" s="56"/>
      <c r="AX195" s="56"/>
      <c r="AY195" s="208"/>
      <c r="AZ195" s="211"/>
    </row>
    <row r="196" ht="18" customHeight="1" hidden="1">
      <c r="A196" s="207"/>
      <c r="B196" s="208"/>
      <c r="C196" s="56"/>
      <c r="D196" s="56"/>
      <c r="E196" s="56"/>
      <c r="F196" s="56"/>
      <c r="G196" s="56"/>
      <c r="H196" s="56"/>
      <c r="I196" s="56"/>
      <c r="J196" s="56"/>
      <c r="K196" s="56"/>
      <c r="L196" s="256"/>
      <c r="M196" s="256"/>
      <c r="N196" s="256"/>
      <c r="O196" s="256"/>
      <c r="P196" s="256"/>
      <c r="Q196" s="256"/>
      <c r="R196" s="256"/>
      <c r="S196" s="208"/>
      <c r="T196" s="256"/>
      <c r="U196" s="256"/>
      <c r="V196" s="256"/>
      <c r="W196" s="256"/>
      <c r="X196" s="237"/>
      <c r="Y196" s="256"/>
      <c r="Z196" s="256"/>
      <c r="AA196" s="256"/>
      <c r="AB196" s="256"/>
      <c r="AC196" s="256"/>
      <c r="AD196" s="256"/>
      <c r="AE196" s="256"/>
      <c r="AF196" s="256"/>
      <c r="AG196" s="256"/>
      <c r="AH196" s="256"/>
      <c r="AI196" s="256"/>
      <c r="AJ196" s="256"/>
      <c r="AK196" s="237"/>
      <c r="AL196" s="56"/>
      <c r="AM196" s="56"/>
      <c r="AN196" s="56"/>
      <c r="AO196" s="56"/>
      <c r="AP196" s="56"/>
      <c r="AQ196" s="56"/>
      <c r="AR196" s="56"/>
      <c r="AS196" s="56"/>
      <c r="AT196" s="56"/>
      <c r="AU196" s="56"/>
      <c r="AV196" s="56"/>
      <c r="AW196" s="56"/>
      <c r="AX196" s="56"/>
      <c r="AY196" s="208"/>
      <c r="AZ196" s="211"/>
    </row>
    <row r="197" ht="18" customHeight="1" hidden="1">
      <c r="A197" s="207"/>
      <c r="B197" s="208"/>
      <c r="C197" s="56"/>
      <c r="D197" s="56"/>
      <c r="E197" s="56"/>
      <c r="F197" s="56"/>
      <c r="G197" s="56"/>
      <c r="H197" s="56"/>
      <c r="I197" s="56"/>
      <c r="J197" s="56"/>
      <c r="K197" s="56"/>
      <c r="L197" s="256"/>
      <c r="M197" s="256"/>
      <c r="N197" s="256"/>
      <c r="O197" s="256"/>
      <c r="P197" s="256"/>
      <c r="Q197" s="256"/>
      <c r="R197" s="256"/>
      <c r="S197" s="208"/>
      <c r="T197" s="256"/>
      <c r="U197" s="256"/>
      <c r="V197" s="256"/>
      <c r="W197" s="256"/>
      <c r="X197" s="237"/>
      <c r="Y197" s="256"/>
      <c r="Z197" s="256"/>
      <c r="AA197" s="256"/>
      <c r="AB197" s="256"/>
      <c r="AC197" s="256"/>
      <c r="AD197" s="256"/>
      <c r="AE197" s="256"/>
      <c r="AF197" s="256"/>
      <c r="AG197" s="256"/>
      <c r="AH197" s="256"/>
      <c r="AI197" s="256"/>
      <c r="AJ197" s="256"/>
      <c r="AK197" s="237"/>
      <c r="AL197" s="56"/>
      <c r="AM197" s="56"/>
      <c r="AN197" s="56"/>
      <c r="AO197" s="56"/>
      <c r="AP197" s="56"/>
      <c r="AQ197" s="56"/>
      <c r="AR197" s="56"/>
      <c r="AS197" s="56"/>
      <c r="AT197" s="56"/>
      <c r="AU197" s="56"/>
      <c r="AV197" s="56"/>
      <c r="AW197" s="56"/>
      <c r="AX197" s="56"/>
      <c r="AY197" s="208"/>
      <c r="AZ197" s="211"/>
    </row>
    <row r="198" ht="18" customHeight="1" hidden="1">
      <c r="A198" s="207"/>
      <c r="B198" s="208"/>
      <c r="C198" s="56"/>
      <c r="D198" s="56"/>
      <c r="E198" s="56"/>
      <c r="F198" s="56"/>
      <c r="G198" s="56"/>
      <c r="H198" s="56"/>
      <c r="I198" s="56"/>
      <c r="J198" s="56"/>
      <c r="K198" s="56"/>
      <c r="L198" s="256"/>
      <c r="M198" s="256"/>
      <c r="N198" s="256"/>
      <c r="O198" s="256"/>
      <c r="P198" s="256"/>
      <c r="Q198" s="256"/>
      <c r="R198" s="256"/>
      <c r="S198" s="208"/>
      <c r="T198" s="256"/>
      <c r="U198" s="256"/>
      <c r="V198" s="256"/>
      <c r="W198" s="256"/>
      <c r="X198" s="237"/>
      <c r="Y198" s="256"/>
      <c r="Z198" s="256"/>
      <c r="AA198" s="256"/>
      <c r="AB198" s="256"/>
      <c r="AC198" s="256"/>
      <c r="AD198" s="256"/>
      <c r="AE198" s="256"/>
      <c r="AF198" s="256"/>
      <c r="AG198" s="256"/>
      <c r="AH198" s="256"/>
      <c r="AI198" s="256"/>
      <c r="AJ198" s="256"/>
      <c r="AK198" s="237"/>
      <c r="AL198" s="56"/>
      <c r="AM198" s="56"/>
      <c r="AN198" s="56"/>
      <c r="AO198" s="56"/>
      <c r="AP198" s="56"/>
      <c r="AQ198" s="56"/>
      <c r="AR198" s="56"/>
      <c r="AS198" s="56"/>
      <c r="AT198" s="56"/>
      <c r="AU198" s="56"/>
      <c r="AV198" s="56"/>
      <c r="AW198" s="56"/>
      <c r="AX198" s="56"/>
      <c r="AY198" s="208"/>
      <c r="AZ198" s="211"/>
    </row>
    <row r="199" ht="18" customHeight="1" hidden="1">
      <c r="A199" s="207"/>
      <c r="B199" s="208"/>
      <c r="C199" s="56"/>
      <c r="D199" s="56"/>
      <c r="E199" s="56"/>
      <c r="F199" s="56"/>
      <c r="G199" s="56"/>
      <c r="H199" s="56"/>
      <c r="I199" s="56"/>
      <c r="J199" s="56"/>
      <c r="K199" s="56"/>
      <c r="L199" s="256"/>
      <c r="M199" s="256"/>
      <c r="N199" s="256"/>
      <c r="O199" s="256"/>
      <c r="P199" s="256"/>
      <c r="Q199" s="256"/>
      <c r="R199" s="256"/>
      <c r="S199" s="208"/>
      <c r="T199" s="256"/>
      <c r="U199" s="256"/>
      <c r="V199" s="256"/>
      <c r="W199" s="256"/>
      <c r="X199" s="237"/>
      <c r="Y199" s="256"/>
      <c r="Z199" s="256"/>
      <c r="AA199" s="256"/>
      <c r="AB199" s="256"/>
      <c r="AC199" s="256"/>
      <c r="AD199" s="256"/>
      <c r="AE199" s="256"/>
      <c r="AF199" s="256"/>
      <c r="AG199" s="256"/>
      <c r="AH199" s="256"/>
      <c r="AI199" s="256"/>
      <c r="AJ199" s="256"/>
      <c r="AK199" s="237"/>
      <c r="AL199" s="56"/>
      <c r="AM199" s="56"/>
      <c r="AN199" s="56"/>
      <c r="AO199" s="56"/>
      <c r="AP199" s="56"/>
      <c r="AQ199" s="56"/>
      <c r="AR199" s="56"/>
      <c r="AS199" s="56"/>
      <c r="AT199" s="56"/>
      <c r="AU199" s="56"/>
      <c r="AV199" s="56"/>
      <c r="AW199" s="56"/>
      <c r="AX199" s="56"/>
      <c r="AY199" s="208"/>
      <c r="AZ199" s="211"/>
    </row>
    <row r="200" ht="18" customHeight="1" hidden="1">
      <c r="A200" s="207"/>
      <c r="B200" s="208"/>
      <c r="C200" s="56"/>
      <c r="D200" s="56"/>
      <c r="E200" s="56"/>
      <c r="F200" s="56"/>
      <c r="G200" s="56"/>
      <c r="H200" s="56"/>
      <c r="I200" s="56"/>
      <c r="J200" s="56"/>
      <c r="K200" s="56"/>
      <c r="L200" s="256"/>
      <c r="M200" s="256"/>
      <c r="N200" s="256"/>
      <c r="O200" s="256"/>
      <c r="P200" s="256"/>
      <c r="Q200" s="256"/>
      <c r="R200" s="256"/>
      <c r="S200" s="208"/>
      <c r="T200" s="256"/>
      <c r="U200" s="256"/>
      <c r="V200" s="256"/>
      <c r="W200" s="256"/>
      <c r="X200" s="237"/>
      <c r="Y200" s="256"/>
      <c r="Z200" s="256"/>
      <c r="AA200" s="256"/>
      <c r="AB200" s="256"/>
      <c r="AC200" s="256"/>
      <c r="AD200" s="256"/>
      <c r="AE200" s="256"/>
      <c r="AF200" s="256"/>
      <c r="AG200" s="256"/>
      <c r="AH200" s="256"/>
      <c r="AI200" s="256"/>
      <c r="AJ200" s="256"/>
      <c r="AK200" s="237"/>
      <c r="AL200" s="56"/>
      <c r="AM200" s="56"/>
      <c r="AN200" s="56"/>
      <c r="AO200" s="56"/>
      <c r="AP200" s="56"/>
      <c r="AQ200" s="56"/>
      <c r="AR200" s="56"/>
      <c r="AS200" s="56"/>
      <c r="AT200" s="56"/>
      <c r="AU200" s="56"/>
      <c r="AV200" s="56"/>
      <c r="AW200" s="56"/>
      <c r="AX200" s="56"/>
      <c r="AY200" s="208"/>
      <c r="AZ200" s="211"/>
    </row>
    <row r="201" ht="18" customHeight="1" hidden="1">
      <c r="A201" s="207"/>
      <c r="B201" s="208"/>
      <c r="C201" s="56"/>
      <c r="D201" s="56"/>
      <c r="E201" s="56"/>
      <c r="F201" s="56"/>
      <c r="G201" s="56"/>
      <c r="H201" s="56"/>
      <c r="I201" s="56"/>
      <c r="J201" s="56"/>
      <c r="K201" s="56"/>
      <c r="L201" s="256"/>
      <c r="M201" s="256"/>
      <c r="N201" s="256"/>
      <c r="O201" s="256"/>
      <c r="P201" s="256"/>
      <c r="Q201" s="256"/>
      <c r="R201" s="256"/>
      <c r="S201" s="208"/>
      <c r="T201" s="256"/>
      <c r="U201" s="256"/>
      <c r="V201" s="256"/>
      <c r="W201" s="256"/>
      <c r="X201" s="237"/>
      <c r="Y201" s="256"/>
      <c r="Z201" s="256"/>
      <c r="AA201" s="256"/>
      <c r="AB201" s="256"/>
      <c r="AC201" s="256"/>
      <c r="AD201" s="256"/>
      <c r="AE201" s="256"/>
      <c r="AF201" s="256"/>
      <c r="AG201" s="256"/>
      <c r="AH201" s="256"/>
      <c r="AI201" s="256"/>
      <c r="AJ201" s="256"/>
      <c r="AK201" s="237"/>
      <c r="AL201" s="56"/>
      <c r="AM201" s="56"/>
      <c r="AN201" s="56"/>
      <c r="AO201" s="56"/>
      <c r="AP201" s="56"/>
      <c r="AQ201" s="56"/>
      <c r="AR201" s="56"/>
      <c r="AS201" s="56"/>
      <c r="AT201" s="56"/>
      <c r="AU201" s="56"/>
      <c r="AV201" s="56"/>
      <c r="AW201" s="56"/>
      <c r="AX201" s="56"/>
      <c r="AY201" s="208"/>
      <c r="AZ201" s="211"/>
    </row>
    <row r="202" ht="18" customHeight="1" hidden="1">
      <c r="A202" s="207"/>
      <c r="B202" s="208"/>
      <c r="C202" s="56"/>
      <c r="D202" s="56"/>
      <c r="E202" s="56"/>
      <c r="F202" s="56"/>
      <c r="G202" s="56"/>
      <c r="H202" s="56"/>
      <c r="I202" s="56"/>
      <c r="J202" s="56"/>
      <c r="K202" s="56"/>
      <c r="L202" s="256"/>
      <c r="M202" s="256"/>
      <c r="N202" s="256"/>
      <c r="O202" s="256"/>
      <c r="P202" s="256"/>
      <c r="Q202" s="256"/>
      <c r="R202" s="256"/>
      <c r="S202" s="208"/>
      <c r="T202" s="256"/>
      <c r="U202" s="256"/>
      <c r="V202" s="256"/>
      <c r="W202" s="256"/>
      <c r="X202" s="237"/>
      <c r="Y202" s="256"/>
      <c r="Z202" s="256"/>
      <c r="AA202" s="256"/>
      <c r="AB202" s="256"/>
      <c r="AC202" s="256"/>
      <c r="AD202" s="256"/>
      <c r="AE202" s="256"/>
      <c r="AF202" s="256"/>
      <c r="AG202" s="256"/>
      <c r="AH202" s="256"/>
      <c r="AI202" s="256"/>
      <c r="AJ202" s="256"/>
      <c r="AK202" s="237"/>
      <c r="AL202" s="56"/>
      <c r="AM202" s="56"/>
      <c r="AN202" s="56"/>
      <c r="AO202" s="56"/>
      <c r="AP202" s="56"/>
      <c r="AQ202" s="56"/>
      <c r="AR202" s="56"/>
      <c r="AS202" s="56"/>
      <c r="AT202" s="56"/>
      <c r="AU202" s="56"/>
      <c r="AV202" s="56"/>
      <c r="AW202" s="56"/>
      <c r="AX202" s="56"/>
      <c r="AY202" s="208"/>
      <c r="AZ202" s="211"/>
    </row>
    <row r="203" ht="18" customHeight="1" hidden="1">
      <c r="A203" s="207"/>
      <c r="B203" s="208"/>
      <c r="C203" s="56"/>
      <c r="D203" s="56"/>
      <c r="E203" s="56"/>
      <c r="F203" s="56"/>
      <c r="G203" s="56"/>
      <c r="H203" s="56"/>
      <c r="I203" s="56"/>
      <c r="J203" s="56"/>
      <c r="K203" s="56"/>
      <c r="L203" s="256"/>
      <c r="M203" s="256"/>
      <c r="N203" s="256"/>
      <c r="O203" s="256"/>
      <c r="P203" s="256"/>
      <c r="Q203" s="256"/>
      <c r="R203" s="256"/>
      <c r="S203" s="208"/>
      <c r="T203" s="256"/>
      <c r="U203" s="256"/>
      <c r="V203" s="256"/>
      <c r="W203" s="256"/>
      <c r="X203" s="237"/>
      <c r="Y203" s="256"/>
      <c r="Z203" s="256"/>
      <c r="AA203" s="256"/>
      <c r="AB203" s="256"/>
      <c r="AC203" s="256"/>
      <c r="AD203" s="256"/>
      <c r="AE203" s="256"/>
      <c r="AF203" s="256"/>
      <c r="AG203" s="256"/>
      <c r="AH203" s="256"/>
      <c r="AI203" s="256"/>
      <c r="AJ203" s="256"/>
      <c r="AK203" s="237"/>
      <c r="AL203" s="56"/>
      <c r="AM203" s="56"/>
      <c r="AN203" s="56"/>
      <c r="AO203" s="56"/>
      <c r="AP203" s="56"/>
      <c r="AQ203" s="56"/>
      <c r="AR203" s="56"/>
      <c r="AS203" s="56"/>
      <c r="AT203" s="56"/>
      <c r="AU203" s="56"/>
      <c r="AV203" s="56"/>
      <c r="AW203" s="56"/>
      <c r="AX203" s="56"/>
      <c r="AY203" s="208"/>
      <c r="AZ203" s="211"/>
    </row>
    <row r="204" ht="18" customHeight="1" hidden="1">
      <c r="A204" s="207"/>
      <c r="B204" s="208"/>
      <c r="C204" s="56"/>
      <c r="D204" s="56"/>
      <c r="E204" s="56"/>
      <c r="F204" s="56"/>
      <c r="G204" s="56"/>
      <c r="H204" s="56"/>
      <c r="I204" s="56"/>
      <c r="J204" s="56"/>
      <c r="K204" s="56"/>
      <c r="L204" s="256"/>
      <c r="M204" s="256"/>
      <c r="N204" s="256"/>
      <c r="O204" s="256"/>
      <c r="P204" s="256"/>
      <c r="Q204" s="256"/>
      <c r="R204" s="256"/>
      <c r="S204" s="208"/>
      <c r="T204" s="256"/>
      <c r="U204" s="256"/>
      <c r="V204" s="256"/>
      <c r="W204" s="256"/>
      <c r="X204" s="237"/>
      <c r="Y204" s="256"/>
      <c r="Z204" s="256"/>
      <c r="AA204" s="256"/>
      <c r="AB204" s="256"/>
      <c r="AC204" s="256"/>
      <c r="AD204" s="256"/>
      <c r="AE204" s="256"/>
      <c r="AF204" s="256"/>
      <c r="AG204" s="256"/>
      <c r="AH204" s="256"/>
      <c r="AI204" s="256"/>
      <c r="AJ204" s="256"/>
      <c r="AK204" s="237"/>
      <c r="AL204" s="56"/>
      <c r="AM204" s="56"/>
      <c r="AN204" s="56"/>
      <c r="AO204" s="56"/>
      <c r="AP204" s="56"/>
      <c r="AQ204" s="56"/>
      <c r="AR204" s="56"/>
      <c r="AS204" s="56"/>
      <c r="AT204" s="56"/>
      <c r="AU204" s="56"/>
      <c r="AV204" s="56"/>
      <c r="AW204" s="56"/>
      <c r="AX204" s="56"/>
      <c r="AY204" s="208"/>
      <c r="AZ204" s="211"/>
    </row>
    <row r="205" ht="18" customHeight="1" hidden="1">
      <c r="A205" s="207"/>
      <c r="B205" s="208"/>
      <c r="C205" s="56"/>
      <c r="D205" s="56"/>
      <c r="E205" s="56"/>
      <c r="F205" s="56"/>
      <c r="G205" s="56"/>
      <c r="H205" s="56"/>
      <c r="I205" s="56"/>
      <c r="J205" s="56"/>
      <c r="K205" s="56"/>
      <c r="L205" s="256"/>
      <c r="M205" s="256"/>
      <c r="N205" s="256"/>
      <c r="O205" s="256"/>
      <c r="P205" s="256"/>
      <c r="Q205" s="256"/>
      <c r="R205" s="256"/>
      <c r="S205" s="208"/>
      <c r="T205" s="256"/>
      <c r="U205" s="256"/>
      <c r="V205" s="256"/>
      <c r="W205" s="256"/>
      <c r="X205" s="237"/>
      <c r="Y205" s="256"/>
      <c r="Z205" s="256"/>
      <c r="AA205" s="256"/>
      <c r="AB205" s="256"/>
      <c r="AC205" s="256"/>
      <c r="AD205" s="256"/>
      <c r="AE205" s="256"/>
      <c r="AF205" s="256"/>
      <c r="AG205" s="256"/>
      <c r="AH205" s="256"/>
      <c r="AI205" s="256"/>
      <c r="AJ205" s="256"/>
      <c r="AK205" s="237"/>
      <c r="AL205" s="56"/>
      <c r="AM205" s="56"/>
      <c r="AN205" s="56"/>
      <c r="AO205" s="56"/>
      <c r="AP205" s="56"/>
      <c r="AQ205" s="56"/>
      <c r="AR205" s="56"/>
      <c r="AS205" s="56"/>
      <c r="AT205" s="56"/>
      <c r="AU205" s="56"/>
      <c r="AV205" s="56"/>
      <c r="AW205" s="56"/>
      <c r="AX205" s="56"/>
      <c r="AY205" s="208"/>
      <c r="AZ205" s="211"/>
    </row>
    <row r="206" ht="18" customHeight="1" hidden="1">
      <c r="A206" s="207"/>
      <c r="B206" s="208"/>
      <c r="C206" s="56"/>
      <c r="D206" s="56"/>
      <c r="E206" s="56"/>
      <c r="F206" s="56"/>
      <c r="G206" s="56"/>
      <c r="H206" s="56"/>
      <c r="I206" s="56"/>
      <c r="J206" s="56"/>
      <c r="K206" s="56"/>
      <c r="L206" s="256"/>
      <c r="M206" s="256"/>
      <c r="N206" s="256"/>
      <c r="O206" s="256"/>
      <c r="P206" s="256"/>
      <c r="Q206" s="256"/>
      <c r="R206" s="256"/>
      <c r="S206" s="208"/>
      <c r="T206" s="256"/>
      <c r="U206" s="256"/>
      <c r="V206" s="256"/>
      <c r="W206" s="256"/>
      <c r="X206" s="237"/>
      <c r="Y206" s="256"/>
      <c r="Z206" s="256"/>
      <c r="AA206" s="256"/>
      <c r="AB206" s="256"/>
      <c r="AC206" s="256"/>
      <c r="AD206" s="256"/>
      <c r="AE206" s="256"/>
      <c r="AF206" s="256"/>
      <c r="AG206" s="256"/>
      <c r="AH206" s="256"/>
      <c r="AI206" s="256"/>
      <c r="AJ206" s="256"/>
      <c r="AK206" s="237"/>
      <c r="AL206" s="56"/>
      <c r="AM206" s="56"/>
      <c r="AN206" s="56"/>
      <c r="AO206" s="56"/>
      <c r="AP206" s="56"/>
      <c r="AQ206" s="56"/>
      <c r="AR206" s="56"/>
      <c r="AS206" s="56"/>
      <c r="AT206" s="56"/>
      <c r="AU206" s="56"/>
      <c r="AV206" s="56"/>
      <c r="AW206" s="56"/>
      <c r="AX206" s="56"/>
      <c r="AY206" s="208"/>
      <c r="AZ206" s="211"/>
    </row>
    <row r="207" ht="18" customHeight="1" hidden="1">
      <c r="A207" s="207"/>
      <c r="B207" s="208"/>
      <c r="C207" s="56"/>
      <c r="D207" s="56"/>
      <c r="E207" s="56"/>
      <c r="F207" s="56"/>
      <c r="G207" s="56"/>
      <c r="H207" s="56"/>
      <c r="I207" s="56"/>
      <c r="J207" s="56"/>
      <c r="K207" s="56"/>
      <c r="L207" s="256"/>
      <c r="M207" s="256"/>
      <c r="N207" s="256"/>
      <c r="O207" s="256"/>
      <c r="P207" s="256"/>
      <c r="Q207" s="256"/>
      <c r="R207" s="256"/>
      <c r="S207" s="208"/>
      <c r="T207" s="256"/>
      <c r="U207" s="256"/>
      <c r="V207" s="256"/>
      <c r="W207" s="256"/>
      <c r="X207" s="237"/>
      <c r="Y207" s="256"/>
      <c r="Z207" s="256"/>
      <c r="AA207" s="256"/>
      <c r="AB207" s="256"/>
      <c r="AC207" s="256"/>
      <c r="AD207" s="256"/>
      <c r="AE207" s="256"/>
      <c r="AF207" s="256"/>
      <c r="AG207" s="256"/>
      <c r="AH207" s="256"/>
      <c r="AI207" s="256"/>
      <c r="AJ207" s="256"/>
      <c r="AK207" s="237"/>
      <c r="AL207" s="56"/>
      <c r="AM207" s="56"/>
      <c r="AN207" s="56"/>
      <c r="AO207" s="56"/>
      <c r="AP207" s="56"/>
      <c r="AQ207" s="56"/>
      <c r="AR207" s="56"/>
      <c r="AS207" s="56"/>
      <c r="AT207" s="56"/>
      <c r="AU207" s="56"/>
      <c r="AV207" s="56"/>
      <c r="AW207" s="56"/>
      <c r="AX207" s="56"/>
      <c r="AY207" s="208"/>
      <c r="AZ207" s="211"/>
    </row>
    <row r="208" ht="18" customHeight="1" hidden="1">
      <c r="A208" s="207"/>
      <c r="B208" s="208"/>
      <c r="C208" s="56"/>
      <c r="D208" s="56"/>
      <c r="E208" s="56"/>
      <c r="F208" s="56"/>
      <c r="G208" s="56"/>
      <c r="H208" s="56"/>
      <c r="I208" s="56"/>
      <c r="J208" s="56"/>
      <c r="K208" s="56"/>
      <c r="L208" s="256"/>
      <c r="M208" s="256"/>
      <c r="N208" s="256"/>
      <c r="O208" s="256"/>
      <c r="P208" s="256"/>
      <c r="Q208" s="256"/>
      <c r="R208" s="256"/>
      <c r="S208" s="208"/>
      <c r="T208" s="256"/>
      <c r="U208" s="256"/>
      <c r="V208" s="256"/>
      <c r="W208" s="256"/>
      <c r="X208" s="237"/>
      <c r="Y208" s="256"/>
      <c r="Z208" s="256"/>
      <c r="AA208" s="256"/>
      <c r="AB208" s="256"/>
      <c r="AC208" s="256"/>
      <c r="AD208" s="256"/>
      <c r="AE208" s="256"/>
      <c r="AF208" s="256"/>
      <c r="AG208" s="256"/>
      <c r="AH208" s="256"/>
      <c r="AI208" s="256"/>
      <c r="AJ208" s="256"/>
      <c r="AK208" s="237"/>
      <c r="AL208" s="56"/>
      <c r="AM208" s="56"/>
      <c r="AN208" s="56"/>
      <c r="AO208" s="56"/>
      <c r="AP208" s="56"/>
      <c r="AQ208" s="56"/>
      <c r="AR208" s="56"/>
      <c r="AS208" s="56"/>
      <c r="AT208" s="56"/>
      <c r="AU208" s="56"/>
      <c r="AV208" s="56"/>
      <c r="AW208" s="56"/>
      <c r="AX208" s="56"/>
      <c r="AY208" s="208"/>
      <c r="AZ208" s="211"/>
    </row>
    <row r="209" ht="18" customHeight="1" hidden="1">
      <c r="A209" s="207"/>
      <c r="B209" s="208"/>
      <c r="C209" s="56"/>
      <c r="D209" s="56"/>
      <c r="E209" s="56"/>
      <c r="F209" s="56"/>
      <c r="G209" s="56"/>
      <c r="H209" s="56"/>
      <c r="I209" s="56"/>
      <c r="J209" s="56"/>
      <c r="K209" s="56"/>
      <c r="L209" s="256"/>
      <c r="M209" s="256"/>
      <c r="N209" s="256"/>
      <c r="O209" s="256"/>
      <c r="P209" s="256"/>
      <c r="Q209" s="256"/>
      <c r="R209" s="256"/>
      <c r="S209" s="208"/>
      <c r="T209" s="256"/>
      <c r="U209" s="256"/>
      <c r="V209" s="256"/>
      <c r="W209" s="256"/>
      <c r="X209" s="237"/>
      <c r="Y209" s="256"/>
      <c r="Z209" s="256"/>
      <c r="AA209" s="256"/>
      <c r="AB209" s="256"/>
      <c r="AC209" s="256"/>
      <c r="AD209" s="256"/>
      <c r="AE209" s="256"/>
      <c r="AF209" s="256"/>
      <c r="AG209" s="256"/>
      <c r="AH209" s="256"/>
      <c r="AI209" s="256"/>
      <c r="AJ209" s="256"/>
      <c r="AK209" s="237"/>
      <c r="AL209" s="56"/>
      <c r="AM209" s="56"/>
      <c r="AN209" s="56"/>
      <c r="AO209" s="56"/>
      <c r="AP209" s="56"/>
      <c r="AQ209" s="56"/>
      <c r="AR209" s="56"/>
      <c r="AS209" s="56"/>
      <c r="AT209" s="56"/>
      <c r="AU209" s="56"/>
      <c r="AV209" s="56"/>
      <c r="AW209" s="56"/>
      <c r="AX209" s="56"/>
      <c r="AY209" s="208"/>
      <c r="AZ209" s="211"/>
    </row>
    <row r="210" ht="18" customHeight="1" hidden="1">
      <c r="A210" s="207"/>
      <c r="B210" s="208"/>
      <c r="C210" s="56"/>
      <c r="D210" s="56"/>
      <c r="E210" s="56"/>
      <c r="F210" s="56"/>
      <c r="G210" s="56"/>
      <c r="H210" s="56"/>
      <c r="I210" s="56"/>
      <c r="J210" s="56"/>
      <c r="K210" s="56"/>
      <c r="L210" s="256"/>
      <c r="M210" s="256"/>
      <c r="N210" s="256"/>
      <c r="O210" s="256"/>
      <c r="P210" s="256"/>
      <c r="Q210" s="256"/>
      <c r="R210" s="256"/>
      <c r="S210" s="208"/>
      <c r="T210" s="256"/>
      <c r="U210" s="256"/>
      <c r="V210" s="256"/>
      <c r="W210" s="256"/>
      <c r="X210" s="237"/>
      <c r="Y210" s="256"/>
      <c r="Z210" s="256"/>
      <c r="AA210" s="256"/>
      <c r="AB210" s="256"/>
      <c r="AC210" s="256"/>
      <c r="AD210" s="256"/>
      <c r="AE210" s="256"/>
      <c r="AF210" s="256"/>
      <c r="AG210" s="256"/>
      <c r="AH210" s="256"/>
      <c r="AI210" s="256"/>
      <c r="AJ210" s="256"/>
      <c r="AK210" s="237"/>
      <c r="AL210" s="56"/>
      <c r="AM210" s="56"/>
      <c r="AN210" s="56"/>
      <c r="AO210" s="56"/>
      <c r="AP210" s="56"/>
      <c r="AQ210" s="56"/>
      <c r="AR210" s="56"/>
      <c r="AS210" s="56"/>
      <c r="AT210" s="56"/>
      <c r="AU210" s="56"/>
      <c r="AV210" s="56"/>
      <c r="AW210" s="56"/>
      <c r="AX210" s="56"/>
      <c r="AY210" s="208"/>
      <c r="AZ210" s="211"/>
    </row>
    <row r="211" ht="18" customHeight="1" hidden="1">
      <c r="A211" s="207"/>
      <c r="B211" s="208"/>
      <c r="C211" s="56"/>
      <c r="D211" s="56"/>
      <c r="E211" s="56"/>
      <c r="F211" s="56"/>
      <c r="G211" s="56"/>
      <c r="H211" s="56"/>
      <c r="I211" s="56"/>
      <c r="J211" s="56"/>
      <c r="K211" s="56"/>
      <c r="L211" s="256"/>
      <c r="M211" s="256"/>
      <c r="N211" s="256"/>
      <c r="O211" s="256"/>
      <c r="P211" s="256"/>
      <c r="Q211" s="256"/>
      <c r="R211" s="256"/>
      <c r="S211" s="208"/>
      <c r="T211" s="256"/>
      <c r="U211" s="256"/>
      <c r="V211" s="256"/>
      <c r="W211" s="256"/>
      <c r="X211" s="237"/>
      <c r="Y211" s="256"/>
      <c r="Z211" s="256"/>
      <c r="AA211" s="256"/>
      <c r="AB211" s="256"/>
      <c r="AC211" s="256"/>
      <c r="AD211" s="256"/>
      <c r="AE211" s="256"/>
      <c r="AF211" s="256"/>
      <c r="AG211" s="256"/>
      <c r="AH211" s="256"/>
      <c r="AI211" s="256"/>
      <c r="AJ211" s="256"/>
      <c r="AK211" s="237"/>
      <c r="AL211" s="56"/>
      <c r="AM211" s="56"/>
      <c r="AN211" s="56"/>
      <c r="AO211" s="56"/>
      <c r="AP211" s="56"/>
      <c r="AQ211" s="56"/>
      <c r="AR211" s="56"/>
      <c r="AS211" s="56"/>
      <c r="AT211" s="56"/>
      <c r="AU211" s="56"/>
      <c r="AV211" s="56"/>
      <c r="AW211" s="56"/>
      <c r="AX211" s="56"/>
      <c r="AY211" s="208"/>
      <c r="AZ211" s="211"/>
    </row>
    <row r="212" ht="18" customHeight="1" hidden="1">
      <c r="A212" s="207"/>
      <c r="B212" s="208"/>
      <c r="C212" s="56"/>
      <c r="D212" s="56"/>
      <c r="E212" s="56"/>
      <c r="F212" s="56"/>
      <c r="G212" s="56"/>
      <c r="H212" s="56"/>
      <c r="I212" s="56"/>
      <c r="J212" s="56"/>
      <c r="K212" s="56"/>
      <c r="L212" s="256"/>
      <c r="M212" s="256"/>
      <c r="N212" s="256"/>
      <c r="O212" s="256"/>
      <c r="P212" s="256"/>
      <c r="Q212" s="256"/>
      <c r="R212" s="256"/>
      <c r="S212" s="208"/>
      <c r="T212" s="256"/>
      <c r="U212" s="256"/>
      <c r="V212" s="256"/>
      <c r="W212" s="256"/>
      <c r="X212" s="237"/>
      <c r="Y212" s="256"/>
      <c r="Z212" s="256"/>
      <c r="AA212" s="256"/>
      <c r="AB212" s="256"/>
      <c r="AC212" s="256"/>
      <c r="AD212" s="256"/>
      <c r="AE212" s="256"/>
      <c r="AF212" s="256"/>
      <c r="AG212" s="256"/>
      <c r="AH212" s="256"/>
      <c r="AI212" s="256"/>
      <c r="AJ212" s="256"/>
      <c r="AK212" s="237"/>
      <c r="AL212" s="56"/>
      <c r="AM212" s="56"/>
      <c r="AN212" s="56"/>
      <c r="AO212" s="56"/>
      <c r="AP212" s="56"/>
      <c r="AQ212" s="56"/>
      <c r="AR212" s="56"/>
      <c r="AS212" s="56"/>
      <c r="AT212" s="56"/>
      <c r="AU212" s="56"/>
      <c r="AV212" s="56"/>
      <c r="AW212" s="56"/>
      <c r="AX212" s="56"/>
      <c r="AY212" s="208"/>
      <c r="AZ212" s="211"/>
    </row>
    <row r="213" ht="18" customHeight="1" hidden="1">
      <c r="A213" s="207"/>
      <c r="B213" s="208"/>
      <c r="C213" s="56"/>
      <c r="D213" s="56"/>
      <c r="E213" s="56"/>
      <c r="F213" s="56"/>
      <c r="G213" s="56"/>
      <c r="H213" s="56"/>
      <c r="I213" s="56"/>
      <c r="J213" s="56"/>
      <c r="K213" s="56"/>
      <c r="L213" s="256"/>
      <c r="M213" s="256"/>
      <c r="N213" s="256"/>
      <c r="O213" s="256"/>
      <c r="P213" s="256"/>
      <c r="Q213" s="256"/>
      <c r="R213" s="256"/>
      <c r="S213" s="208"/>
      <c r="T213" s="256"/>
      <c r="U213" s="256"/>
      <c r="V213" s="256"/>
      <c r="W213" s="256"/>
      <c r="X213" s="237"/>
      <c r="Y213" s="256"/>
      <c r="Z213" s="256"/>
      <c r="AA213" s="256"/>
      <c r="AB213" s="256"/>
      <c r="AC213" s="256"/>
      <c r="AD213" s="256"/>
      <c r="AE213" s="256"/>
      <c r="AF213" s="256"/>
      <c r="AG213" s="256"/>
      <c r="AH213" s="256"/>
      <c r="AI213" s="256"/>
      <c r="AJ213" s="256"/>
      <c r="AK213" s="237"/>
      <c r="AL213" s="56"/>
      <c r="AM213" s="56"/>
      <c r="AN213" s="56"/>
      <c r="AO213" s="56"/>
      <c r="AP213" s="56"/>
      <c r="AQ213" s="56"/>
      <c r="AR213" s="56"/>
      <c r="AS213" s="56"/>
      <c r="AT213" s="56"/>
      <c r="AU213" s="56"/>
      <c r="AV213" s="56"/>
      <c r="AW213" s="56"/>
      <c r="AX213" s="56"/>
      <c r="AY213" s="208"/>
      <c r="AZ213" s="211"/>
    </row>
    <row r="214" ht="18" customHeight="1" hidden="1">
      <c r="A214" s="207"/>
      <c r="B214" s="208"/>
      <c r="C214" s="56"/>
      <c r="D214" s="56"/>
      <c r="E214" s="56"/>
      <c r="F214" s="56"/>
      <c r="G214" s="56"/>
      <c r="H214" s="56"/>
      <c r="I214" s="56"/>
      <c r="J214" s="56"/>
      <c r="K214" s="56"/>
      <c r="L214" s="256"/>
      <c r="M214" s="256"/>
      <c r="N214" s="256"/>
      <c r="O214" s="256"/>
      <c r="P214" s="256"/>
      <c r="Q214" s="256"/>
      <c r="R214" s="256"/>
      <c r="S214" s="208"/>
      <c r="T214" s="256"/>
      <c r="U214" s="256"/>
      <c r="V214" s="256"/>
      <c r="W214" s="256"/>
      <c r="X214" s="237"/>
      <c r="Y214" s="256"/>
      <c r="Z214" s="256"/>
      <c r="AA214" s="256"/>
      <c r="AB214" s="256"/>
      <c r="AC214" s="256"/>
      <c r="AD214" s="256"/>
      <c r="AE214" s="256"/>
      <c r="AF214" s="256"/>
      <c r="AG214" s="256"/>
      <c r="AH214" s="256"/>
      <c r="AI214" s="256"/>
      <c r="AJ214" s="256"/>
      <c r="AK214" s="237"/>
      <c r="AL214" s="56"/>
      <c r="AM214" s="56"/>
      <c r="AN214" s="56"/>
      <c r="AO214" s="56"/>
      <c r="AP214" s="56"/>
      <c r="AQ214" s="56"/>
      <c r="AR214" s="56"/>
      <c r="AS214" s="56"/>
      <c r="AT214" s="56"/>
      <c r="AU214" s="56"/>
      <c r="AV214" s="56"/>
      <c r="AW214" s="56"/>
      <c r="AX214" s="56"/>
      <c r="AY214" s="208"/>
      <c r="AZ214" s="211"/>
    </row>
    <row r="215" ht="18" customHeight="1" hidden="1">
      <c r="A215" s="207"/>
      <c r="B215" s="208"/>
      <c r="C215" s="56"/>
      <c r="D215" s="56"/>
      <c r="E215" s="56"/>
      <c r="F215" s="56"/>
      <c r="G215" s="56"/>
      <c r="H215" s="56"/>
      <c r="I215" s="56"/>
      <c r="J215" s="56"/>
      <c r="K215" s="56"/>
      <c r="L215" s="256"/>
      <c r="M215" s="256"/>
      <c r="N215" s="256"/>
      <c r="O215" s="256"/>
      <c r="P215" s="256"/>
      <c r="Q215" s="256"/>
      <c r="R215" s="256"/>
      <c r="S215" s="208"/>
      <c r="T215" s="256"/>
      <c r="U215" s="256"/>
      <c r="V215" s="256"/>
      <c r="W215" s="256"/>
      <c r="X215" s="237"/>
      <c r="Y215" s="256"/>
      <c r="Z215" s="256"/>
      <c r="AA215" s="256"/>
      <c r="AB215" s="256"/>
      <c r="AC215" s="256"/>
      <c r="AD215" s="256"/>
      <c r="AE215" s="256"/>
      <c r="AF215" s="256"/>
      <c r="AG215" s="256"/>
      <c r="AH215" s="256"/>
      <c r="AI215" s="256"/>
      <c r="AJ215" s="256"/>
      <c r="AK215" s="237"/>
      <c r="AL215" s="56"/>
      <c r="AM215" s="56"/>
      <c r="AN215" s="56"/>
      <c r="AO215" s="56"/>
      <c r="AP215" s="56"/>
      <c r="AQ215" s="56"/>
      <c r="AR215" s="56"/>
      <c r="AS215" s="56"/>
      <c r="AT215" s="56"/>
      <c r="AU215" s="56"/>
      <c r="AV215" s="56"/>
      <c r="AW215" s="56"/>
      <c r="AX215" s="56"/>
      <c r="AY215" s="208"/>
      <c r="AZ215" s="211"/>
    </row>
    <row r="216" ht="18" customHeight="1" hidden="1">
      <c r="A216" s="207"/>
      <c r="B216" s="208"/>
      <c r="C216" s="56"/>
      <c r="D216" s="56"/>
      <c r="E216" s="56"/>
      <c r="F216" s="56"/>
      <c r="G216" s="56"/>
      <c r="H216" s="56"/>
      <c r="I216" s="56"/>
      <c r="J216" s="56"/>
      <c r="K216" s="56"/>
      <c r="L216" s="256"/>
      <c r="M216" s="256"/>
      <c r="N216" s="256"/>
      <c r="O216" s="256"/>
      <c r="P216" s="256"/>
      <c r="Q216" s="256"/>
      <c r="R216" s="256"/>
      <c r="S216" s="208"/>
      <c r="T216" s="256"/>
      <c r="U216" s="256"/>
      <c r="V216" s="256"/>
      <c r="W216" s="256"/>
      <c r="X216" s="237"/>
      <c r="Y216" s="256"/>
      <c r="Z216" s="256"/>
      <c r="AA216" s="256"/>
      <c r="AB216" s="256"/>
      <c r="AC216" s="256"/>
      <c r="AD216" s="256"/>
      <c r="AE216" s="256"/>
      <c r="AF216" s="256"/>
      <c r="AG216" s="256"/>
      <c r="AH216" s="256"/>
      <c r="AI216" s="256"/>
      <c r="AJ216" s="256"/>
      <c r="AK216" s="237"/>
      <c r="AL216" s="56"/>
      <c r="AM216" s="56"/>
      <c r="AN216" s="56"/>
      <c r="AO216" s="56"/>
      <c r="AP216" s="56"/>
      <c r="AQ216" s="56"/>
      <c r="AR216" s="56"/>
      <c r="AS216" s="56"/>
      <c r="AT216" s="56"/>
      <c r="AU216" s="56"/>
      <c r="AV216" s="56"/>
      <c r="AW216" s="56"/>
      <c r="AX216" s="56"/>
      <c r="AY216" s="208"/>
      <c r="AZ216" s="211"/>
    </row>
    <row r="217" ht="18" customHeight="1" hidden="1">
      <c r="A217" s="207"/>
      <c r="B217" s="208"/>
      <c r="C217" s="56"/>
      <c r="D217" s="56"/>
      <c r="E217" s="56"/>
      <c r="F217" s="56"/>
      <c r="G217" s="56"/>
      <c r="H217" s="56"/>
      <c r="I217" s="56"/>
      <c r="J217" s="56"/>
      <c r="K217" s="56"/>
      <c r="L217" s="256"/>
      <c r="M217" s="256"/>
      <c r="N217" s="256"/>
      <c r="O217" s="256"/>
      <c r="P217" s="256"/>
      <c r="Q217" s="256"/>
      <c r="R217" s="256"/>
      <c r="S217" s="208"/>
      <c r="T217" s="256"/>
      <c r="U217" s="256"/>
      <c r="V217" s="256"/>
      <c r="W217" s="256"/>
      <c r="X217" s="237"/>
      <c r="Y217" s="256"/>
      <c r="Z217" s="256"/>
      <c r="AA217" s="256"/>
      <c r="AB217" s="256"/>
      <c r="AC217" s="256"/>
      <c r="AD217" s="256"/>
      <c r="AE217" s="256"/>
      <c r="AF217" s="256"/>
      <c r="AG217" s="256"/>
      <c r="AH217" s="256"/>
      <c r="AI217" s="256"/>
      <c r="AJ217" s="256"/>
      <c r="AK217" s="237"/>
      <c r="AL217" s="56"/>
      <c r="AM217" s="56"/>
      <c r="AN217" s="56"/>
      <c r="AO217" s="56"/>
      <c r="AP217" s="56"/>
      <c r="AQ217" s="56"/>
      <c r="AR217" s="56"/>
      <c r="AS217" s="56"/>
      <c r="AT217" s="56"/>
      <c r="AU217" s="56"/>
      <c r="AV217" s="56"/>
      <c r="AW217" s="56"/>
      <c r="AX217" s="56"/>
      <c r="AY217" s="208"/>
      <c r="AZ217" s="211"/>
    </row>
    <row r="218" ht="18" customHeight="1" hidden="1">
      <c r="A218" s="207"/>
      <c r="B218" s="208"/>
      <c r="C218" s="56"/>
      <c r="D218" s="56"/>
      <c r="E218" s="56"/>
      <c r="F218" s="56"/>
      <c r="G218" s="56"/>
      <c r="H218" s="56"/>
      <c r="I218" s="56"/>
      <c r="J218" s="56"/>
      <c r="K218" s="56"/>
      <c r="L218" s="256"/>
      <c r="M218" s="256"/>
      <c r="N218" s="256"/>
      <c r="O218" s="256"/>
      <c r="P218" s="256"/>
      <c r="Q218" s="256"/>
      <c r="R218" s="256"/>
      <c r="S218" s="208"/>
      <c r="T218" s="256"/>
      <c r="U218" s="256"/>
      <c r="V218" s="256"/>
      <c r="W218" s="256"/>
      <c r="X218" s="237"/>
      <c r="Y218" s="256"/>
      <c r="Z218" s="256"/>
      <c r="AA218" s="256"/>
      <c r="AB218" s="256"/>
      <c r="AC218" s="256"/>
      <c r="AD218" s="256"/>
      <c r="AE218" s="256"/>
      <c r="AF218" s="256"/>
      <c r="AG218" s="256"/>
      <c r="AH218" s="256"/>
      <c r="AI218" s="256"/>
      <c r="AJ218" s="256"/>
      <c r="AK218" s="237"/>
      <c r="AL218" s="56"/>
      <c r="AM218" s="56"/>
      <c r="AN218" s="56"/>
      <c r="AO218" s="56"/>
      <c r="AP218" s="56"/>
      <c r="AQ218" s="56"/>
      <c r="AR218" s="56"/>
      <c r="AS218" s="56"/>
      <c r="AT218" s="56"/>
      <c r="AU218" s="56"/>
      <c r="AV218" s="56"/>
      <c r="AW218" s="56"/>
      <c r="AX218" s="56"/>
      <c r="AY218" s="208"/>
      <c r="AZ218" s="211"/>
    </row>
    <row r="219" ht="18" customHeight="1" hidden="1">
      <c r="A219" s="207"/>
      <c r="B219" s="208"/>
      <c r="C219" s="56"/>
      <c r="D219" s="56"/>
      <c r="E219" s="56"/>
      <c r="F219" s="56"/>
      <c r="G219" s="56"/>
      <c r="H219" s="56"/>
      <c r="I219" s="56"/>
      <c r="J219" s="56"/>
      <c r="K219" s="56"/>
      <c r="L219" s="256"/>
      <c r="M219" s="256"/>
      <c r="N219" s="256"/>
      <c r="O219" s="256"/>
      <c r="P219" s="256"/>
      <c r="Q219" s="256"/>
      <c r="R219" s="256"/>
      <c r="S219" s="208"/>
      <c r="T219" s="256"/>
      <c r="U219" s="256"/>
      <c r="V219" s="256"/>
      <c r="W219" s="256"/>
      <c r="X219" s="237"/>
      <c r="Y219" s="256"/>
      <c r="Z219" s="256"/>
      <c r="AA219" s="256"/>
      <c r="AB219" s="256"/>
      <c r="AC219" s="256"/>
      <c r="AD219" s="256"/>
      <c r="AE219" s="256"/>
      <c r="AF219" s="256"/>
      <c r="AG219" s="256"/>
      <c r="AH219" s="256"/>
      <c r="AI219" s="256"/>
      <c r="AJ219" s="256"/>
      <c r="AK219" s="237"/>
      <c r="AL219" s="56"/>
      <c r="AM219" s="56"/>
      <c r="AN219" s="56"/>
      <c r="AO219" s="56"/>
      <c r="AP219" s="56"/>
      <c r="AQ219" s="56"/>
      <c r="AR219" s="56"/>
      <c r="AS219" s="56"/>
      <c r="AT219" s="56"/>
      <c r="AU219" s="56"/>
      <c r="AV219" s="56"/>
      <c r="AW219" s="56"/>
      <c r="AX219" s="56"/>
      <c r="AY219" s="208"/>
      <c r="AZ219" s="211"/>
    </row>
    <row r="220" ht="18" customHeight="1" hidden="1">
      <c r="A220" s="207"/>
      <c r="B220" s="208"/>
      <c r="C220" s="56"/>
      <c r="D220" s="56"/>
      <c r="E220" s="56"/>
      <c r="F220" s="56"/>
      <c r="G220" s="56"/>
      <c r="H220" s="56"/>
      <c r="I220" s="56"/>
      <c r="J220" s="56"/>
      <c r="K220" s="56"/>
      <c r="L220" s="256"/>
      <c r="M220" s="256"/>
      <c r="N220" s="256"/>
      <c r="O220" s="256"/>
      <c r="P220" s="256"/>
      <c r="Q220" s="256"/>
      <c r="R220" s="256"/>
      <c r="S220" s="208"/>
      <c r="T220" s="256"/>
      <c r="U220" s="256"/>
      <c r="V220" s="256"/>
      <c r="W220" s="256"/>
      <c r="X220" s="237"/>
      <c r="Y220" s="256"/>
      <c r="Z220" s="256"/>
      <c r="AA220" s="256"/>
      <c r="AB220" s="256"/>
      <c r="AC220" s="256"/>
      <c r="AD220" s="256"/>
      <c r="AE220" s="256"/>
      <c r="AF220" s="256"/>
      <c r="AG220" s="256"/>
      <c r="AH220" s="256"/>
      <c r="AI220" s="256"/>
      <c r="AJ220" s="256"/>
      <c r="AK220" s="237"/>
      <c r="AL220" s="56"/>
      <c r="AM220" s="56"/>
      <c r="AN220" s="56"/>
      <c r="AO220" s="56"/>
      <c r="AP220" s="56"/>
      <c r="AQ220" s="56"/>
      <c r="AR220" s="56"/>
      <c r="AS220" s="56"/>
      <c r="AT220" s="56"/>
      <c r="AU220" s="56"/>
      <c r="AV220" s="56"/>
      <c r="AW220" s="56"/>
      <c r="AX220" s="56"/>
      <c r="AY220" s="208"/>
      <c r="AZ220" s="211"/>
    </row>
    <row r="221" ht="18" customHeight="1" hidden="1">
      <c r="A221" s="207"/>
      <c r="B221" s="208"/>
      <c r="C221" s="56"/>
      <c r="D221" s="56"/>
      <c r="E221" s="56"/>
      <c r="F221" s="56"/>
      <c r="G221" s="56"/>
      <c r="H221" s="56"/>
      <c r="I221" s="56"/>
      <c r="J221" s="56"/>
      <c r="K221" s="56"/>
      <c r="L221" s="256"/>
      <c r="M221" s="256"/>
      <c r="N221" s="256"/>
      <c r="O221" s="256"/>
      <c r="P221" s="256"/>
      <c r="Q221" s="256"/>
      <c r="R221" s="256"/>
      <c r="S221" s="208"/>
      <c r="T221" s="256"/>
      <c r="U221" s="256"/>
      <c r="V221" s="256"/>
      <c r="W221" s="256"/>
      <c r="X221" s="237"/>
      <c r="Y221" s="256"/>
      <c r="Z221" s="256"/>
      <c r="AA221" s="256"/>
      <c r="AB221" s="256"/>
      <c r="AC221" s="256"/>
      <c r="AD221" s="256"/>
      <c r="AE221" s="256"/>
      <c r="AF221" s="256"/>
      <c r="AG221" s="256"/>
      <c r="AH221" s="256"/>
      <c r="AI221" s="256"/>
      <c r="AJ221" s="256"/>
      <c r="AK221" s="237"/>
      <c r="AL221" s="56"/>
      <c r="AM221" s="56"/>
      <c r="AN221" s="56"/>
      <c r="AO221" s="56"/>
      <c r="AP221" s="56"/>
      <c r="AQ221" s="56"/>
      <c r="AR221" s="56"/>
      <c r="AS221" s="56"/>
      <c r="AT221" s="56"/>
      <c r="AU221" s="56"/>
      <c r="AV221" s="56"/>
      <c r="AW221" s="56"/>
      <c r="AX221" s="56"/>
      <c r="AY221" s="208"/>
      <c r="AZ221" s="211"/>
    </row>
    <row r="222" ht="18" customHeight="1" hidden="1">
      <c r="A222" s="207"/>
      <c r="B222" s="208"/>
      <c r="C222" s="56"/>
      <c r="D222" s="56"/>
      <c r="E222" s="56"/>
      <c r="F222" s="56"/>
      <c r="G222" s="56"/>
      <c r="H222" s="56"/>
      <c r="I222" s="56"/>
      <c r="J222" s="56"/>
      <c r="K222" s="56"/>
      <c r="L222" s="256"/>
      <c r="M222" s="256"/>
      <c r="N222" s="256"/>
      <c r="O222" s="256"/>
      <c r="P222" s="256"/>
      <c r="Q222" s="256"/>
      <c r="R222" s="256"/>
      <c r="S222" s="208"/>
      <c r="T222" s="256"/>
      <c r="U222" s="256"/>
      <c r="V222" s="256"/>
      <c r="W222" s="256"/>
      <c r="X222" s="237"/>
      <c r="Y222" s="256"/>
      <c r="Z222" s="256"/>
      <c r="AA222" s="256"/>
      <c r="AB222" s="256"/>
      <c r="AC222" s="256"/>
      <c r="AD222" s="256"/>
      <c r="AE222" s="256"/>
      <c r="AF222" s="256"/>
      <c r="AG222" s="256"/>
      <c r="AH222" s="256"/>
      <c r="AI222" s="256"/>
      <c r="AJ222" s="256"/>
      <c r="AK222" s="237"/>
      <c r="AL222" s="56"/>
      <c r="AM222" s="56"/>
      <c r="AN222" s="56"/>
      <c r="AO222" s="56"/>
      <c r="AP222" s="56"/>
      <c r="AQ222" s="56"/>
      <c r="AR222" s="56"/>
      <c r="AS222" s="56"/>
      <c r="AT222" s="56"/>
      <c r="AU222" s="56"/>
      <c r="AV222" s="56"/>
      <c r="AW222" s="56"/>
      <c r="AX222" s="56"/>
      <c r="AY222" s="208"/>
      <c r="AZ222" s="211"/>
    </row>
    <row r="223" ht="18" customHeight="1" hidden="1">
      <c r="A223" s="207"/>
      <c r="B223" s="208"/>
      <c r="C223" s="56"/>
      <c r="D223" s="56"/>
      <c r="E223" s="56"/>
      <c r="F223" s="56"/>
      <c r="G223" s="56"/>
      <c r="H223" s="56"/>
      <c r="I223" s="56"/>
      <c r="J223" s="56"/>
      <c r="K223" s="56"/>
      <c r="L223" s="256"/>
      <c r="M223" s="256"/>
      <c r="N223" s="256"/>
      <c r="O223" s="256"/>
      <c r="P223" s="256"/>
      <c r="Q223" s="256"/>
      <c r="R223" s="256"/>
      <c r="S223" s="208"/>
      <c r="T223" s="256"/>
      <c r="U223" s="256"/>
      <c r="V223" s="256"/>
      <c r="W223" s="256"/>
      <c r="X223" s="237"/>
      <c r="Y223" s="256"/>
      <c r="Z223" s="256"/>
      <c r="AA223" s="256"/>
      <c r="AB223" s="256"/>
      <c r="AC223" s="256"/>
      <c r="AD223" s="256"/>
      <c r="AE223" s="256"/>
      <c r="AF223" s="256"/>
      <c r="AG223" s="256"/>
      <c r="AH223" s="256"/>
      <c r="AI223" s="256"/>
      <c r="AJ223" s="256"/>
      <c r="AK223" s="237"/>
      <c r="AL223" s="56"/>
      <c r="AM223" s="56"/>
      <c r="AN223" s="56"/>
      <c r="AO223" s="56"/>
      <c r="AP223" s="56"/>
      <c r="AQ223" s="56"/>
      <c r="AR223" s="56"/>
      <c r="AS223" s="56"/>
      <c r="AT223" s="56"/>
      <c r="AU223" s="56"/>
      <c r="AV223" s="56"/>
      <c r="AW223" s="56"/>
      <c r="AX223" s="56"/>
      <c r="AY223" s="208"/>
      <c r="AZ223" s="211"/>
    </row>
    <row r="224" ht="18" customHeight="1" hidden="1">
      <c r="A224" s="207"/>
      <c r="B224" s="208"/>
      <c r="C224" s="56"/>
      <c r="D224" s="56"/>
      <c r="E224" s="56"/>
      <c r="F224" s="56"/>
      <c r="G224" s="56"/>
      <c r="H224" s="56"/>
      <c r="I224" s="56"/>
      <c r="J224" s="56"/>
      <c r="K224" s="56"/>
      <c r="L224" s="256"/>
      <c r="M224" s="256"/>
      <c r="N224" s="256"/>
      <c r="O224" s="256"/>
      <c r="P224" s="256"/>
      <c r="Q224" s="256"/>
      <c r="R224" s="256"/>
      <c r="S224" s="208"/>
      <c r="T224" s="256"/>
      <c r="U224" s="256"/>
      <c r="V224" s="256"/>
      <c r="W224" s="256"/>
      <c r="X224" s="237"/>
      <c r="Y224" s="256"/>
      <c r="Z224" s="256"/>
      <c r="AA224" s="256"/>
      <c r="AB224" s="256"/>
      <c r="AC224" s="256"/>
      <c r="AD224" s="256"/>
      <c r="AE224" s="256"/>
      <c r="AF224" s="256"/>
      <c r="AG224" s="256"/>
      <c r="AH224" s="256"/>
      <c r="AI224" s="256"/>
      <c r="AJ224" s="256"/>
      <c r="AK224" s="237"/>
      <c r="AL224" s="56"/>
      <c r="AM224" s="56"/>
      <c r="AN224" s="56"/>
      <c r="AO224" s="56"/>
      <c r="AP224" s="56"/>
      <c r="AQ224" s="56"/>
      <c r="AR224" s="56"/>
      <c r="AS224" s="56"/>
      <c r="AT224" s="56"/>
      <c r="AU224" s="56"/>
      <c r="AV224" s="56"/>
      <c r="AW224" s="56"/>
      <c r="AX224" s="56"/>
      <c r="AY224" s="208"/>
      <c r="AZ224" s="211"/>
    </row>
    <row r="225" ht="18" customHeight="1" hidden="1">
      <c r="A225" s="207"/>
      <c r="B225" s="208"/>
      <c r="C225" s="56"/>
      <c r="D225" s="56"/>
      <c r="E225" s="56"/>
      <c r="F225" s="56"/>
      <c r="G225" s="56"/>
      <c r="H225" s="56"/>
      <c r="I225" s="56"/>
      <c r="J225" s="56"/>
      <c r="K225" s="56"/>
      <c r="L225" s="256"/>
      <c r="M225" s="256"/>
      <c r="N225" s="256"/>
      <c r="O225" s="256"/>
      <c r="P225" s="256"/>
      <c r="Q225" s="256"/>
      <c r="R225" s="256"/>
      <c r="S225" s="208"/>
      <c r="T225" s="256"/>
      <c r="U225" s="256"/>
      <c r="V225" s="256"/>
      <c r="W225" s="256"/>
      <c r="X225" s="237"/>
      <c r="Y225" s="256"/>
      <c r="Z225" s="256"/>
      <c r="AA225" s="256"/>
      <c r="AB225" s="256"/>
      <c r="AC225" s="256"/>
      <c r="AD225" s="256"/>
      <c r="AE225" s="256"/>
      <c r="AF225" s="256"/>
      <c r="AG225" s="256"/>
      <c r="AH225" s="256"/>
      <c r="AI225" s="256"/>
      <c r="AJ225" s="256"/>
      <c r="AK225" s="237"/>
      <c r="AL225" s="56"/>
      <c r="AM225" s="56"/>
      <c r="AN225" s="56"/>
      <c r="AO225" s="56"/>
      <c r="AP225" s="56"/>
      <c r="AQ225" s="56"/>
      <c r="AR225" s="56"/>
      <c r="AS225" s="56"/>
      <c r="AT225" s="56"/>
      <c r="AU225" s="56"/>
      <c r="AV225" s="56"/>
      <c r="AW225" s="56"/>
      <c r="AX225" s="56"/>
      <c r="AY225" s="208"/>
      <c r="AZ225" s="211"/>
    </row>
    <row r="226" ht="18" customHeight="1" hidden="1">
      <c r="A226" s="207"/>
      <c r="B226" s="208"/>
      <c r="C226" s="56"/>
      <c r="D226" s="56"/>
      <c r="E226" s="56"/>
      <c r="F226" s="56"/>
      <c r="G226" s="56"/>
      <c r="H226" s="56"/>
      <c r="I226" s="56"/>
      <c r="J226" s="56"/>
      <c r="K226" s="56"/>
      <c r="L226" s="256"/>
      <c r="M226" s="256"/>
      <c r="N226" s="256"/>
      <c r="O226" s="256"/>
      <c r="P226" s="256"/>
      <c r="Q226" s="256"/>
      <c r="R226" s="256"/>
      <c r="S226" s="208"/>
      <c r="T226" s="256"/>
      <c r="U226" s="256"/>
      <c r="V226" s="256"/>
      <c r="W226" s="256"/>
      <c r="X226" s="237"/>
      <c r="Y226" s="256"/>
      <c r="Z226" s="256"/>
      <c r="AA226" s="256"/>
      <c r="AB226" s="256"/>
      <c r="AC226" s="256"/>
      <c r="AD226" s="256"/>
      <c r="AE226" s="256"/>
      <c r="AF226" s="256"/>
      <c r="AG226" s="256"/>
      <c r="AH226" s="256"/>
      <c r="AI226" s="256"/>
      <c r="AJ226" s="256"/>
      <c r="AK226" s="237"/>
      <c r="AL226" s="56"/>
      <c r="AM226" s="56"/>
      <c r="AN226" s="56"/>
      <c r="AO226" s="56"/>
      <c r="AP226" s="56"/>
      <c r="AQ226" s="56"/>
      <c r="AR226" s="56"/>
      <c r="AS226" s="56"/>
      <c r="AT226" s="56"/>
      <c r="AU226" s="56"/>
      <c r="AV226" s="56"/>
      <c r="AW226" s="56"/>
      <c r="AX226" s="56"/>
      <c r="AY226" s="208"/>
      <c r="AZ226" s="211"/>
    </row>
    <row r="227" ht="18" customHeight="1" hidden="1">
      <c r="A227" s="207"/>
      <c r="B227" s="208"/>
      <c r="C227" s="56"/>
      <c r="D227" s="56"/>
      <c r="E227" s="56"/>
      <c r="F227" s="56"/>
      <c r="G227" s="56"/>
      <c r="H227" s="56"/>
      <c r="I227" s="56"/>
      <c r="J227" s="56"/>
      <c r="K227" s="56"/>
      <c r="L227" s="256"/>
      <c r="M227" s="256"/>
      <c r="N227" s="256"/>
      <c r="O227" s="256"/>
      <c r="P227" s="256"/>
      <c r="Q227" s="256"/>
      <c r="R227" s="256"/>
      <c r="S227" s="208"/>
      <c r="T227" s="256"/>
      <c r="U227" s="256"/>
      <c r="V227" s="256"/>
      <c r="W227" s="256"/>
      <c r="X227" s="237"/>
      <c r="Y227" s="256"/>
      <c r="Z227" s="256"/>
      <c r="AA227" s="256"/>
      <c r="AB227" s="256"/>
      <c r="AC227" s="256"/>
      <c r="AD227" s="256"/>
      <c r="AE227" s="256"/>
      <c r="AF227" s="256"/>
      <c r="AG227" s="256"/>
      <c r="AH227" s="256"/>
      <c r="AI227" s="256"/>
      <c r="AJ227" s="256"/>
      <c r="AK227" s="237"/>
      <c r="AL227" s="56"/>
      <c r="AM227" s="56"/>
      <c r="AN227" s="56"/>
      <c r="AO227" s="56"/>
      <c r="AP227" s="56"/>
      <c r="AQ227" s="56"/>
      <c r="AR227" s="56"/>
      <c r="AS227" s="56"/>
      <c r="AT227" s="56"/>
      <c r="AU227" s="56"/>
      <c r="AV227" s="56"/>
      <c r="AW227" s="56"/>
      <c r="AX227" s="56"/>
      <c r="AY227" s="208"/>
      <c r="AZ227" s="211"/>
    </row>
    <row r="228" ht="18" customHeight="1" hidden="1">
      <c r="A228" s="207"/>
      <c r="B228" s="208"/>
      <c r="C228" s="56"/>
      <c r="D228" s="56"/>
      <c r="E228" s="56"/>
      <c r="F228" s="56"/>
      <c r="G228" s="56"/>
      <c r="H228" s="56"/>
      <c r="I228" s="56"/>
      <c r="J228" s="56"/>
      <c r="K228" s="56"/>
      <c r="L228" s="256"/>
      <c r="M228" s="256"/>
      <c r="N228" s="256"/>
      <c r="O228" s="256"/>
      <c r="P228" s="256"/>
      <c r="Q228" s="256"/>
      <c r="R228" s="256"/>
      <c r="S228" s="208"/>
      <c r="T228" s="256"/>
      <c r="U228" s="256"/>
      <c r="V228" s="256"/>
      <c r="W228" s="256"/>
      <c r="X228" s="237"/>
      <c r="Y228" s="256"/>
      <c r="Z228" s="256"/>
      <c r="AA228" s="256"/>
      <c r="AB228" s="256"/>
      <c r="AC228" s="256"/>
      <c r="AD228" s="256"/>
      <c r="AE228" s="256"/>
      <c r="AF228" s="256"/>
      <c r="AG228" s="256"/>
      <c r="AH228" s="256"/>
      <c r="AI228" s="256"/>
      <c r="AJ228" s="256"/>
      <c r="AK228" s="237"/>
      <c r="AL228" s="56"/>
      <c r="AM228" s="56"/>
      <c r="AN228" s="56"/>
      <c r="AO228" s="56"/>
      <c r="AP228" s="56"/>
      <c r="AQ228" s="56"/>
      <c r="AR228" s="56"/>
      <c r="AS228" s="56"/>
      <c r="AT228" s="56"/>
      <c r="AU228" s="56"/>
      <c r="AV228" s="56"/>
      <c r="AW228" s="56"/>
      <c r="AX228" s="56"/>
      <c r="AY228" s="208"/>
      <c r="AZ228" s="211"/>
    </row>
    <row r="229" ht="18" customHeight="1" hidden="1">
      <c r="A229" s="207"/>
      <c r="B229" s="208"/>
      <c r="C229" s="56"/>
      <c r="D229" s="56"/>
      <c r="E229" s="56"/>
      <c r="F229" s="56"/>
      <c r="G229" s="56"/>
      <c r="H229" s="56"/>
      <c r="I229" s="56"/>
      <c r="J229" s="56"/>
      <c r="K229" s="56"/>
      <c r="L229" s="256"/>
      <c r="M229" s="256"/>
      <c r="N229" s="256"/>
      <c r="O229" s="256"/>
      <c r="P229" s="256"/>
      <c r="Q229" s="256"/>
      <c r="R229" s="256"/>
      <c r="S229" s="208"/>
      <c r="T229" s="256"/>
      <c r="U229" s="256"/>
      <c r="V229" s="256"/>
      <c r="W229" s="256"/>
      <c r="X229" s="237"/>
      <c r="Y229" s="256"/>
      <c r="Z229" s="256"/>
      <c r="AA229" s="256"/>
      <c r="AB229" s="256"/>
      <c r="AC229" s="256"/>
      <c r="AD229" s="256"/>
      <c r="AE229" s="256"/>
      <c r="AF229" s="256"/>
      <c r="AG229" s="256"/>
      <c r="AH229" s="256"/>
      <c r="AI229" s="256"/>
      <c r="AJ229" s="256"/>
      <c r="AK229" s="237"/>
      <c r="AL229" s="56"/>
      <c r="AM229" s="56"/>
      <c r="AN229" s="56"/>
      <c r="AO229" s="56"/>
      <c r="AP229" s="56"/>
      <c r="AQ229" s="56"/>
      <c r="AR229" s="56"/>
      <c r="AS229" s="56"/>
      <c r="AT229" s="56"/>
      <c r="AU229" s="56"/>
      <c r="AV229" s="56"/>
      <c r="AW229" s="56"/>
      <c r="AX229" s="56"/>
      <c r="AY229" s="208"/>
      <c r="AZ229" s="211"/>
    </row>
    <row r="230" ht="18" customHeight="1" hidden="1">
      <c r="A230" s="207"/>
      <c r="B230" s="208"/>
      <c r="C230" s="56"/>
      <c r="D230" s="56"/>
      <c r="E230" s="56"/>
      <c r="F230" s="56"/>
      <c r="G230" s="56"/>
      <c r="H230" s="56"/>
      <c r="I230" s="56"/>
      <c r="J230" s="56"/>
      <c r="K230" s="56"/>
      <c r="L230" s="256"/>
      <c r="M230" s="256"/>
      <c r="N230" s="256"/>
      <c r="O230" s="256"/>
      <c r="P230" s="256"/>
      <c r="Q230" s="256"/>
      <c r="R230" s="256"/>
      <c r="S230" s="208"/>
      <c r="T230" s="256"/>
      <c r="U230" s="256"/>
      <c r="V230" s="256"/>
      <c r="W230" s="256"/>
      <c r="X230" s="237"/>
      <c r="Y230" s="256"/>
      <c r="Z230" s="256"/>
      <c r="AA230" s="256"/>
      <c r="AB230" s="256"/>
      <c r="AC230" s="256"/>
      <c r="AD230" s="256"/>
      <c r="AE230" s="256"/>
      <c r="AF230" s="256"/>
      <c r="AG230" s="256"/>
      <c r="AH230" s="256"/>
      <c r="AI230" s="256"/>
      <c r="AJ230" s="256"/>
      <c r="AK230" s="237"/>
      <c r="AL230" s="56"/>
      <c r="AM230" s="56"/>
      <c r="AN230" s="56"/>
      <c r="AO230" s="56"/>
      <c r="AP230" s="56"/>
      <c r="AQ230" s="56"/>
      <c r="AR230" s="56"/>
      <c r="AS230" s="56"/>
      <c r="AT230" s="56"/>
      <c r="AU230" s="56"/>
      <c r="AV230" s="56"/>
      <c r="AW230" s="56"/>
      <c r="AX230" s="56"/>
      <c r="AY230" s="208"/>
      <c r="AZ230" s="211"/>
    </row>
    <row r="231" ht="18" customHeight="1" hidden="1">
      <c r="A231" s="207"/>
      <c r="B231" s="208"/>
      <c r="C231" s="56"/>
      <c r="D231" s="56"/>
      <c r="E231" s="56"/>
      <c r="F231" s="56"/>
      <c r="G231" s="56"/>
      <c r="H231" s="56"/>
      <c r="I231" s="56"/>
      <c r="J231" s="56"/>
      <c r="K231" s="56"/>
      <c r="L231" s="256"/>
      <c r="M231" s="256"/>
      <c r="N231" s="256"/>
      <c r="O231" s="256"/>
      <c r="P231" s="256"/>
      <c r="Q231" s="256"/>
      <c r="R231" s="256"/>
      <c r="S231" s="208"/>
      <c r="T231" s="256"/>
      <c r="U231" s="256"/>
      <c r="V231" s="256"/>
      <c r="W231" s="256"/>
      <c r="X231" s="237"/>
      <c r="Y231" s="256"/>
      <c r="Z231" s="256"/>
      <c r="AA231" s="256"/>
      <c r="AB231" s="256"/>
      <c r="AC231" s="256"/>
      <c r="AD231" s="256"/>
      <c r="AE231" s="256"/>
      <c r="AF231" s="256"/>
      <c r="AG231" s="256"/>
      <c r="AH231" s="256"/>
      <c r="AI231" s="256"/>
      <c r="AJ231" s="256"/>
      <c r="AK231" s="237"/>
      <c r="AL231" s="56"/>
      <c r="AM231" s="56"/>
      <c r="AN231" s="56"/>
      <c r="AO231" s="56"/>
      <c r="AP231" s="56"/>
      <c r="AQ231" s="56"/>
      <c r="AR231" s="56"/>
      <c r="AS231" s="56"/>
      <c r="AT231" s="56"/>
      <c r="AU231" s="56"/>
      <c r="AV231" s="56"/>
      <c r="AW231" s="56"/>
      <c r="AX231" s="56"/>
      <c r="AY231" s="208"/>
      <c r="AZ231" s="211"/>
    </row>
    <row r="232" ht="18" customHeight="1" hidden="1">
      <c r="A232" s="207"/>
      <c r="B232" s="208"/>
      <c r="C232" s="56"/>
      <c r="D232" s="56"/>
      <c r="E232" s="56"/>
      <c r="F232" s="56"/>
      <c r="G232" s="56"/>
      <c r="H232" s="56"/>
      <c r="I232" s="56"/>
      <c r="J232" s="56"/>
      <c r="K232" s="56"/>
      <c r="L232" s="256"/>
      <c r="M232" s="256"/>
      <c r="N232" s="256"/>
      <c r="O232" s="256"/>
      <c r="P232" s="256"/>
      <c r="Q232" s="256"/>
      <c r="R232" s="256"/>
      <c r="S232" s="208"/>
      <c r="T232" s="256"/>
      <c r="U232" s="256"/>
      <c r="V232" s="256"/>
      <c r="W232" s="256"/>
      <c r="X232" s="237"/>
      <c r="Y232" s="256"/>
      <c r="Z232" s="256"/>
      <c r="AA232" s="256"/>
      <c r="AB232" s="256"/>
      <c r="AC232" s="256"/>
      <c r="AD232" s="256"/>
      <c r="AE232" s="256"/>
      <c r="AF232" s="256"/>
      <c r="AG232" s="256"/>
      <c r="AH232" s="256"/>
      <c r="AI232" s="256"/>
      <c r="AJ232" s="256"/>
      <c r="AK232" s="237"/>
      <c r="AL232" s="56"/>
      <c r="AM232" s="56"/>
      <c r="AN232" s="56"/>
      <c r="AO232" s="56"/>
      <c r="AP232" s="56"/>
      <c r="AQ232" s="56"/>
      <c r="AR232" s="56"/>
      <c r="AS232" s="56"/>
      <c r="AT232" s="56"/>
      <c r="AU232" s="56"/>
      <c r="AV232" s="56"/>
      <c r="AW232" s="56"/>
      <c r="AX232" s="56"/>
      <c r="AY232" s="208"/>
      <c r="AZ232" s="211"/>
    </row>
    <row r="233" ht="18" customHeight="1" hidden="1">
      <c r="A233" s="207"/>
      <c r="B233" s="208"/>
      <c r="C233" s="56"/>
      <c r="D233" s="56"/>
      <c r="E233" s="56"/>
      <c r="F233" s="56"/>
      <c r="G233" s="56"/>
      <c r="H233" s="56"/>
      <c r="I233" s="56"/>
      <c r="J233" s="56"/>
      <c r="K233" s="56"/>
      <c r="L233" s="256"/>
      <c r="M233" s="256"/>
      <c r="N233" s="256"/>
      <c r="O233" s="256"/>
      <c r="P233" s="256"/>
      <c r="Q233" s="256"/>
      <c r="R233" s="256"/>
      <c r="S233" s="208"/>
      <c r="T233" s="256"/>
      <c r="U233" s="256"/>
      <c r="V233" s="256"/>
      <c r="W233" s="256"/>
      <c r="X233" s="237"/>
      <c r="Y233" s="256"/>
      <c r="Z233" s="256"/>
      <c r="AA233" s="256"/>
      <c r="AB233" s="256"/>
      <c r="AC233" s="256"/>
      <c r="AD233" s="256"/>
      <c r="AE233" s="256"/>
      <c r="AF233" s="256"/>
      <c r="AG233" s="256"/>
      <c r="AH233" s="256"/>
      <c r="AI233" s="256"/>
      <c r="AJ233" s="256"/>
      <c r="AK233" s="237"/>
      <c r="AL233" s="56"/>
      <c r="AM233" s="56"/>
      <c r="AN233" s="56"/>
      <c r="AO233" s="56"/>
      <c r="AP233" s="56"/>
      <c r="AQ233" s="56"/>
      <c r="AR233" s="56"/>
      <c r="AS233" s="56"/>
      <c r="AT233" s="56"/>
      <c r="AU233" s="56"/>
      <c r="AV233" s="56"/>
      <c r="AW233" s="56"/>
      <c r="AX233" s="56"/>
      <c r="AY233" s="208"/>
      <c r="AZ233" s="211"/>
    </row>
    <row r="234" ht="18" customHeight="1" hidden="1">
      <c r="A234" s="207"/>
      <c r="B234" s="208"/>
      <c r="C234" s="56"/>
      <c r="D234" s="56"/>
      <c r="E234" s="56"/>
      <c r="F234" s="56"/>
      <c r="G234" s="56"/>
      <c r="H234" s="56"/>
      <c r="I234" s="56"/>
      <c r="J234" s="56"/>
      <c r="K234" s="56"/>
      <c r="L234" s="256"/>
      <c r="M234" s="256"/>
      <c r="N234" s="256"/>
      <c r="O234" s="256"/>
      <c r="P234" s="256"/>
      <c r="Q234" s="256"/>
      <c r="R234" s="256"/>
      <c r="S234" s="208"/>
      <c r="T234" s="256"/>
      <c r="U234" s="256"/>
      <c r="V234" s="256"/>
      <c r="W234" s="256"/>
      <c r="X234" s="237"/>
      <c r="Y234" s="256"/>
      <c r="Z234" s="256"/>
      <c r="AA234" s="256"/>
      <c r="AB234" s="256"/>
      <c r="AC234" s="256"/>
      <c r="AD234" s="256"/>
      <c r="AE234" s="256"/>
      <c r="AF234" s="256"/>
      <c r="AG234" s="256"/>
      <c r="AH234" s="256"/>
      <c r="AI234" s="256"/>
      <c r="AJ234" s="256"/>
      <c r="AK234" s="237"/>
      <c r="AL234" s="56"/>
      <c r="AM234" s="56"/>
      <c r="AN234" s="56"/>
      <c r="AO234" s="56"/>
      <c r="AP234" s="56"/>
      <c r="AQ234" s="56"/>
      <c r="AR234" s="56"/>
      <c r="AS234" s="56"/>
      <c r="AT234" s="56"/>
      <c r="AU234" s="56"/>
      <c r="AV234" s="56"/>
      <c r="AW234" s="56"/>
      <c r="AX234" s="56"/>
      <c r="AY234" s="208"/>
      <c r="AZ234" s="211"/>
    </row>
    <row r="235" ht="18" customHeight="1" hidden="1">
      <c r="A235" s="207"/>
      <c r="B235" s="208"/>
      <c r="C235" s="56"/>
      <c r="D235" s="56"/>
      <c r="E235" s="56"/>
      <c r="F235" s="56"/>
      <c r="G235" s="56"/>
      <c r="H235" s="56"/>
      <c r="I235" s="56"/>
      <c r="J235" s="56"/>
      <c r="K235" s="56"/>
      <c r="L235" s="256"/>
      <c r="M235" s="256"/>
      <c r="N235" s="256"/>
      <c r="O235" s="256"/>
      <c r="P235" s="256"/>
      <c r="Q235" s="256"/>
      <c r="R235" s="256"/>
      <c r="S235" s="208"/>
      <c r="T235" s="256"/>
      <c r="U235" s="256"/>
      <c r="V235" s="256"/>
      <c r="W235" s="256"/>
      <c r="X235" s="237"/>
      <c r="Y235" s="256"/>
      <c r="Z235" s="256"/>
      <c r="AA235" s="256"/>
      <c r="AB235" s="256"/>
      <c r="AC235" s="256"/>
      <c r="AD235" s="256"/>
      <c r="AE235" s="256"/>
      <c r="AF235" s="256"/>
      <c r="AG235" s="256"/>
      <c r="AH235" s="256"/>
      <c r="AI235" s="256"/>
      <c r="AJ235" s="256"/>
      <c r="AK235" s="237"/>
      <c r="AL235" s="56"/>
      <c r="AM235" s="56"/>
      <c r="AN235" s="56"/>
      <c r="AO235" s="56"/>
      <c r="AP235" s="56"/>
      <c r="AQ235" s="56"/>
      <c r="AR235" s="56"/>
      <c r="AS235" s="56"/>
      <c r="AT235" s="56"/>
      <c r="AU235" s="56"/>
      <c r="AV235" s="56"/>
      <c r="AW235" s="56"/>
      <c r="AX235" s="56"/>
      <c r="AY235" s="208"/>
      <c r="AZ235" s="211"/>
    </row>
    <row r="236" ht="18" customHeight="1" hidden="1">
      <c r="A236" s="207"/>
      <c r="B236" s="208"/>
      <c r="C236" s="56"/>
      <c r="D236" s="56"/>
      <c r="E236" s="56"/>
      <c r="F236" s="56"/>
      <c r="G236" s="56"/>
      <c r="H236" s="56"/>
      <c r="I236" s="56"/>
      <c r="J236" s="56"/>
      <c r="K236" s="56"/>
      <c r="L236" s="256"/>
      <c r="M236" s="256"/>
      <c r="N236" s="256"/>
      <c r="O236" s="256"/>
      <c r="P236" s="256"/>
      <c r="Q236" s="256"/>
      <c r="R236" s="256"/>
      <c r="S236" s="208"/>
      <c r="T236" s="256"/>
      <c r="U236" s="256"/>
      <c r="V236" s="256"/>
      <c r="W236" s="256"/>
      <c r="X236" s="237"/>
      <c r="Y236" s="256"/>
      <c r="Z236" s="256"/>
      <c r="AA236" s="256"/>
      <c r="AB236" s="256"/>
      <c r="AC236" s="256"/>
      <c r="AD236" s="256"/>
      <c r="AE236" s="256"/>
      <c r="AF236" s="256"/>
      <c r="AG236" s="256"/>
      <c r="AH236" s="256"/>
      <c r="AI236" s="256"/>
      <c r="AJ236" s="256"/>
      <c r="AK236" s="237"/>
      <c r="AL236" s="56"/>
      <c r="AM236" s="56"/>
      <c r="AN236" s="56"/>
      <c r="AO236" s="56"/>
      <c r="AP236" s="56"/>
      <c r="AQ236" s="56"/>
      <c r="AR236" s="56"/>
      <c r="AS236" s="56"/>
      <c r="AT236" s="56"/>
      <c r="AU236" s="56"/>
      <c r="AV236" s="56"/>
      <c r="AW236" s="56"/>
      <c r="AX236" s="56"/>
      <c r="AY236" s="208"/>
      <c r="AZ236" s="211"/>
    </row>
    <row r="237" ht="18" customHeight="1" hidden="1">
      <c r="A237" s="207"/>
      <c r="B237" s="208"/>
      <c r="C237" s="56"/>
      <c r="D237" s="56"/>
      <c r="E237" s="56"/>
      <c r="F237" s="56"/>
      <c r="G237" s="56"/>
      <c r="H237" s="56"/>
      <c r="I237" s="56"/>
      <c r="J237" s="56"/>
      <c r="K237" s="56"/>
      <c r="L237" s="256"/>
      <c r="M237" s="256"/>
      <c r="N237" s="256"/>
      <c r="O237" s="256"/>
      <c r="P237" s="256"/>
      <c r="Q237" s="256"/>
      <c r="R237" s="256"/>
      <c r="S237" s="208"/>
      <c r="T237" s="256"/>
      <c r="U237" s="256"/>
      <c r="V237" s="256"/>
      <c r="W237" s="256"/>
      <c r="X237" s="237"/>
      <c r="Y237" s="256"/>
      <c r="Z237" s="256"/>
      <c r="AA237" s="256"/>
      <c r="AB237" s="256"/>
      <c r="AC237" s="256"/>
      <c r="AD237" s="256"/>
      <c r="AE237" s="256"/>
      <c r="AF237" s="256"/>
      <c r="AG237" s="256"/>
      <c r="AH237" s="256"/>
      <c r="AI237" s="256"/>
      <c r="AJ237" s="256"/>
      <c r="AK237" s="237"/>
      <c r="AL237" s="56"/>
      <c r="AM237" s="56"/>
      <c r="AN237" s="56"/>
      <c r="AO237" s="56"/>
      <c r="AP237" s="56"/>
      <c r="AQ237" s="56"/>
      <c r="AR237" s="56"/>
      <c r="AS237" s="56"/>
      <c r="AT237" s="56"/>
      <c r="AU237" s="56"/>
      <c r="AV237" s="56"/>
      <c r="AW237" s="56"/>
      <c r="AX237" s="56"/>
      <c r="AY237" s="208"/>
      <c r="AZ237" s="211"/>
    </row>
    <row r="238" ht="18" customHeight="1" hidden="1">
      <c r="A238" s="207"/>
      <c r="B238" s="208"/>
      <c r="C238" s="56"/>
      <c r="D238" s="56"/>
      <c r="E238" s="56"/>
      <c r="F238" s="56"/>
      <c r="G238" s="56"/>
      <c r="H238" s="56"/>
      <c r="I238" s="56"/>
      <c r="J238" s="56"/>
      <c r="K238" s="56"/>
      <c r="L238" s="256"/>
      <c r="M238" s="256"/>
      <c r="N238" s="256"/>
      <c r="O238" s="256"/>
      <c r="P238" s="256"/>
      <c r="Q238" s="256"/>
      <c r="R238" s="256"/>
      <c r="S238" s="208"/>
      <c r="T238" s="256"/>
      <c r="U238" s="256"/>
      <c r="V238" s="256"/>
      <c r="W238" s="256"/>
      <c r="X238" s="237"/>
      <c r="Y238" s="256"/>
      <c r="Z238" s="256"/>
      <c r="AA238" s="256"/>
      <c r="AB238" s="256"/>
      <c r="AC238" s="256"/>
      <c r="AD238" s="256"/>
      <c r="AE238" s="256"/>
      <c r="AF238" s="256"/>
      <c r="AG238" s="256"/>
      <c r="AH238" s="256"/>
      <c r="AI238" s="256"/>
      <c r="AJ238" s="256"/>
      <c r="AK238" s="237"/>
      <c r="AL238" s="56"/>
      <c r="AM238" s="56"/>
      <c r="AN238" s="56"/>
      <c r="AO238" s="56"/>
      <c r="AP238" s="56"/>
      <c r="AQ238" s="56"/>
      <c r="AR238" s="56"/>
      <c r="AS238" s="56"/>
      <c r="AT238" s="56"/>
      <c r="AU238" s="56"/>
      <c r="AV238" s="56"/>
      <c r="AW238" s="56"/>
      <c r="AX238" s="56"/>
      <c r="AY238" s="208"/>
      <c r="AZ238" s="211"/>
    </row>
    <row r="239" ht="18" customHeight="1" hidden="1">
      <c r="A239" s="207"/>
      <c r="B239" s="208"/>
      <c r="C239" s="56"/>
      <c r="D239" s="56"/>
      <c r="E239" s="56"/>
      <c r="F239" s="56"/>
      <c r="G239" s="56"/>
      <c r="H239" s="56"/>
      <c r="I239" s="56"/>
      <c r="J239" s="56"/>
      <c r="K239" s="56"/>
      <c r="L239" s="256"/>
      <c r="M239" s="256"/>
      <c r="N239" s="256"/>
      <c r="O239" s="256"/>
      <c r="P239" s="256"/>
      <c r="Q239" s="256"/>
      <c r="R239" s="256"/>
      <c r="S239" s="208"/>
      <c r="T239" s="256"/>
      <c r="U239" s="256"/>
      <c r="V239" s="256"/>
      <c r="W239" s="256"/>
      <c r="X239" s="237"/>
      <c r="Y239" s="256"/>
      <c r="Z239" s="256"/>
      <c r="AA239" s="256"/>
      <c r="AB239" s="256"/>
      <c r="AC239" s="256"/>
      <c r="AD239" s="256"/>
      <c r="AE239" s="256"/>
      <c r="AF239" s="256"/>
      <c r="AG239" s="256"/>
      <c r="AH239" s="256"/>
      <c r="AI239" s="256"/>
      <c r="AJ239" s="256"/>
      <c r="AK239" s="237"/>
      <c r="AL239" s="56"/>
      <c r="AM239" s="56"/>
      <c r="AN239" s="56"/>
      <c r="AO239" s="56"/>
      <c r="AP239" s="56"/>
      <c r="AQ239" s="56"/>
      <c r="AR239" s="56"/>
      <c r="AS239" s="56"/>
      <c r="AT239" s="56"/>
      <c r="AU239" s="56"/>
      <c r="AV239" s="56"/>
      <c r="AW239" s="56"/>
      <c r="AX239" s="56"/>
      <c r="AY239" s="208"/>
      <c r="AZ239" s="211"/>
    </row>
    <row r="240" ht="18" customHeight="1" hidden="1">
      <c r="A240" s="207"/>
      <c r="B240" s="208"/>
      <c r="C240" s="56"/>
      <c r="D240" s="56"/>
      <c r="E240" s="56"/>
      <c r="F240" s="56"/>
      <c r="G240" s="56"/>
      <c r="H240" s="56"/>
      <c r="I240" s="56"/>
      <c r="J240" s="56"/>
      <c r="K240" s="56"/>
      <c r="L240" s="256"/>
      <c r="M240" s="256"/>
      <c r="N240" s="256"/>
      <c r="O240" s="256"/>
      <c r="P240" s="256"/>
      <c r="Q240" s="256"/>
      <c r="R240" s="256"/>
      <c r="S240" s="208"/>
      <c r="T240" s="256"/>
      <c r="U240" s="256"/>
      <c r="V240" s="256"/>
      <c r="W240" s="256"/>
      <c r="X240" s="237"/>
      <c r="Y240" s="256"/>
      <c r="Z240" s="256"/>
      <c r="AA240" s="256"/>
      <c r="AB240" s="256"/>
      <c r="AC240" s="256"/>
      <c r="AD240" s="256"/>
      <c r="AE240" s="256"/>
      <c r="AF240" s="256"/>
      <c r="AG240" s="256"/>
      <c r="AH240" s="256"/>
      <c r="AI240" s="256"/>
      <c r="AJ240" s="256"/>
      <c r="AK240" s="237"/>
      <c r="AL240" s="56"/>
      <c r="AM240" s="56"/>
      <c r="AN240" s="56"/>
      <c r="AO240" s="56"/>
      <c r="AP240" s="56"/>
      <c r="AQ240" s="56"/>
      <c r="AR240" s="56"/>
      <c r="AS240" s="56"/>
      <c r="AT240" s="56"/>
      <c r="AU240" s="56"/>
      <c r="AV240" s="56"/>
      <c r="AW240" s="56"/>
      <c r="AX240" s="56"/>
      <c r="AY240" s="208"/>
      <c r="AZ240" s="211"/>
    </row>
    <row r="241" ht="18" customHeight="1" hidden="1">
      <c r="A241" s="207"/>
      <c r="B241" s="208"/>
      <c r="C241" s="56"/>
      <c r="D241" s="56"/>
      <c r="E241" s="56"/>
      <c r="F241" s="56"/>
      <c r="G241" s="56"/>
      <c r="H241" s="56"/>
      <c r="I241" s="56"/>
      <c r="J241" s="56"/>
      <c r="K241" s="56"/>
      <c r="L241" s="256"/>
      <c r="M241" s="256"/>
      <c r="N241" s="256"/>
      <c r="O241" s="256"/>
      <c r="P241" s="256"/>
      <c r="Q241" s="256"/>
      <c r="R241" s="256"/>
      <c r="S241" s="208"/>
      <c r="T241" s="256"/>
      <c r="U241" s="256"/>
      <c r="V241" s="256"/>
      <c r="W241" s="256"/>
      <c r="X241" s="237"/>
      <c r="Y241" s="256"/>
      <c r="Z241" s="256"/>
      <c r="AA241" s="256"/>
      <c r="AB241" s="256"/>
      <c r="AC241" s="256"/>
      <c r="AD241" s="256"/>
      <c r="AE241" s="256"/>
      <c r="AF241" s="256"/>
      <c r="AG241" s="256"/>
      <c r="AH241" s="256"/>
      <c r="AI241" s="256"/>
      <c r="AJ241" s="256"/>
      <c r="AK241" s="237"/>
      <c r="AL241" s="56"/>
      <c r="AM241" s="56"/>
      <c r="AN241" s="56"/>
      <c r="AO241" s="56"/>
      <c r="AP241" s="56"/>
      <c r="AQ241" s="56"/>
      <c r="AR241" s="56"/>
      <c r="AS241" s="56"/>
      <c r="AT241" s="56"/>
      <c r="AU241" s="56"/>
      <c r="AV241" s="56"/>
      <c r="AW241" s="56"/>
      <c r="AX241" s="56"/>
      <c r="AY241" s="208"/>
      <c r="AZ241" s="211"/>
    </row>
    <row r="242" ht="18" customHeight="1" hidden="1">
      <c r="A242" s="207"/>
      <c r="B242" s="208"/>
      <c r="C242" s="56"/>
      <c r="D242" s="56"/>
      <c r="E242" s="56"/>
      <c r="F242" s="56"/>
      <c r="G242" s="56"/>
      <c r="H242" s="56"/>
      <c r="I242" s="56"/>
      <c r="J242" s="56"/>
      <c r="K242" s="56"/>
      <c r="L242" s="256"/>
      <c r="M242" s="256"/>
      <c r="N242" s="256"/>
      <c r="O242" s="256"/>
      <c r="P242" s="256"/>
      <c r="Q242" s="256"/>
      <c r="R242" s="256"/>
      <c r="S242" s="208"/>
      <c r="T242" s="256"/>
      <c r="U242" s="256"/>
      <c r="V242" s="256"/>
      <c r="W242" s="256"/>
      <c r="X242" s="237"/>
      <c r="Y242" s="256"/>
      <c r="Z242" s="256"/>
      <c r="AA242" s="256"/>
      <c r="AB242" s="256"/>
      <c r="AC242" s="256"/>
      <c r="AD242" s="256"/>
      <c r="AE242" s="256"/>
      <c r="AF242" s="256"/>
      <c r="AG242" s="256"/>
      <c r="AH242" s="256"/>
      <c r="AI242" s="256"/>
      <c r="AJ242" s="256"/>
      <c r="AK242" s="237"/>
      <c r="AL242" s="56"/>
      <c r="AM242" s="56"/>
      <c r="AN242" s="56"/>
      <c r="AO242" s="56"/>
      <c r="AP242" s="56"/>
      <c r="AQ242" s="56"/>
      <c r="AR242" s="56"/>
      <c r="AS242" s="56"/>
      <c r="AT242" s="56"/>
      <c r="AU242" s="56"/>
      <c r="AV242" s="56"/>
      <c r="AW242" s="56"/>
      <c r="AX242" s="56"/>
      <c r="AY242" s="208"/>
      <c r="AZ242" s="211"/>
    </row>
    <row r="243" ht="18" customHeight="1" hidden="1">
      <c r="A243" s="207"/>
      <c r="B243" s="208"/>
      <c r="C243" s="56"/>
      <c r="D243" s="56"/>
      <c r="E243" s="56"/>
      <c r="F243" s="56"/>
      <c r="G243" s="56"/>
      <c r="H243" s="56"/>
      <c r="I243" s="56"/>
      <c r="J243" s="56"/>
      <c r="K243" s="56"/>
      <c r="L243" s="256"/>
      <c r="M243" s="256"/>
      <c r="N243" s="256"/>
      <c r="O243" s="256"/>
      <c r="P243" s="256"/>
      <c r="Q243" s="256"/>
      <c r="R243" s="256"/>
      <c r="S243" s="208"/>
      <c r="T243" s="256"/>
      <c r="U243" s="256"/>
      <c r="V243" s="256"/>
      <c r="W243" s="256"/>
      <c r="X243" s="237"/>
      <c r="Y243" s="256"/>
      <c r="Z243" s="256"/>
      <c r="AA243" s="256"/>
      <c r="AB243" s="256"/>
      <c r="AC243" s="256"/>
      <c r="AD243" s="256"/>
      <c r="AE243" s="256"/>
      <c r="AF243" s="256"/>
      <c r="AG243" s="256"/>
      <c r="AH243" s="256"/>
      <c r="AI243" s="256"/>
      <c r="AJ243" s="256"/>
      <c r="AK243" s="237"/>
      <c r="AL243" s="56"/>
      <c r="AM243" s="56"/>
      <c r="AN243" s="56"/>
      <c r="AO243" s="56"/>
      <c r="AP243" s="56"/>
      <c r="AQ243" s="56"/>
      <c r="AR243" s="56"/>
      <c r="AS243" s="56"/>
      <c r="AT243" s="56"/>
      <c r="AU243" s="56"/>
      <c r="AV243" s="56"/>
      <c r="AW243" s="56"/>
      <c r="AX243" s="56"/>
      <c r="AY243" s="208"/>
      <c r="AZ243" s="211"/>
    </row>
    <row r="244" ht="18" customHeight="1" hidden="1">
      <c r="A244" s="207"/>
      <c r="B244" s="208"/>
      <c r="C244" s="56"/>
      <c r="D244" s="56"/>
      <c r="E244" s="56"/>
      <c r="F244" s="56"/>
      <c r="G244" s="56"/>
      <c r="H244" s="56"/>
      <c r="I244" s="56"/>
      <c r="J244" s="56"/>
      <c r="K244" s="56"/>
      <c r="L244" s="256"/>
      <c r="M244" s="256"/>
      <c r="N244" s="256"/>
      <c r="O244" s="256"/>
      <c r="P244" s="256"/>
      <c r="Q244" s="256"/>
      <c r="R244" s="256"/>
      <c r="S244" s="208"/>
      <c r="T244" s="256"/>
      <c r="U244" s="256"/>
      <c r="V244" s="256"/>
      <c r="W244" s="256"/>
      <c r="X244" s="237"/>
      <c r="Y244" s="256"/>
      <c r="Z244" s="256"/>
      <c r="AA244" s="256"/>
      <c r="AB244" s="256"/>
      <c r="AC244" s="256"/>
      <c r="AD244" s="256"/>
      <c r="AE244" s="256"/>
      <c r="AF244" s="256"/>
      <c r="AG244" s="256"/>
      <c r="AH244" s="256"/>
      <c r="AI244" s="256"/>
      <c r="AJ244" s="256"/>
      <c r="AK244" s="237"/>
      <c r="AL244" s="56"/>
      <c r="AM244" s="56"/>
      <c r="AN244" s="56"/>
      <c r="AO244" s="56"/>
      <c r="AP244" s="56"/>
      <c r="AQ244" s="56"/>
      <c r="AR244" s="56"/>
      <c r="AS244" s="56"/>
      <c r="AT244" s="56"/>
      <c r="AU244" s="56"/>
      <c r="AV244" s="56"/>
      <c r="AW244" s="56"/>
      <c r="AX244" s="56"/>
      <c r="AY244" s="208"/>
      <c r="AZ244" s="211"/>
    </row>
    <row r="245" ht="18" customHeight="1" hidden="1">
      <c r="A245" s="207"/>
      <c r="B245" s="208"/>
      <c r="C245" s="56"/>
      <c r="D245" s="56"/>
      <c r="E245" s="56"/>
      <c r="F245" s="56"/>
      <c r="G245" s="56"/>
      <c r="H245" s="56"/>
      <c r="I245" s="56"/>
      <c r="J245" s="56"/>
      <c r="K245" s="56"/>
      <c r="L245" s="256"/>
      <c r="M245" s="256"/>
      <c r="N245" s="256"/>
      <c r="O245" s="256"/>
      <c r="P245" s="256"/>
      <c r="Q245" s="256"/>
      <c r="R245" s="256"/>
      <c r="S245" s="208"/>
      <c r="T245" s="256"/>
      <c r="U245" s="256"/>
      <c r="V245" s="256"/>
      <c r="W245" s="256"/>
      <c r="X245" s="237"/>
      <c r="Y245" s="256"/>
      <c r="Z245" s="256"/>
      <c r="AA245" s="256"/>
      <c r="AB245" s="256"/>
      <c r="AC245" s="256"/>
      <c r="AD245" s="256"/>
      <c r="AE245" s="256"/>
      <c r="AF245" s="256"/>
      <c r="AG245" s="256"/>
      <c r="AH245" s="256"/>
      <c r="AI245" s="256"/>
      <c r="AJ245" s="256"/>
      <c r="AK245" s="237"/>
      <c r="AL245" s="56"/>
      <c r="AM245" s="56"/>
      <c r="AN245" s="56"/>
      <c r="AO245" s="56"/>
      <c r="AP245" s="56"/>
      <c r="AQ245" s="56"/>
      <c r="AR245" s="56"/>
      <c r="AS245" s="56"/>
      <c r="AT245" s="56"/>
      <c r="AU245" s="56"/>
      <c r="AV245" s="56"/>
      <c r="AW245" s="56"/>
      <c r="AX245" s="56"/>
      <c r="AY245" s="208"/>
      <c r="AZ245" s="211"/>
    </row>
    <row r="246" ht="18" customHeight="1" hidden="1">
      <c r="A246" s="207"/>
      <c r="B246" s="208"/>
      <c r="C246" s="56"/>
      <c r="D246" s="56"/>
      <c r="E246" s="56"/>
      <c r="F246" s="56"/>
      <c r="G246" s="56"/>
      <c r="H246" s="56"/>
      <c r="I246" s="56"/>
      <c r="J246" s="56"/>
      <c r="K246" s="56"/>
      <c r="L246" s="256"/>
      <c r="M246" s="256"/>
      <c r="N246" s="256"/>
      <c r="O246" s="256"/>
      <c r="P246" s="256"/>
      <c r="Q246" s="256"/>
      <c r="R246" s="256"/>
      <c r="S246" s="208"/>
      <c r="T246" s="256"/>
      <c r="U246" s="256"/>
      <c r="V246" s="256"/>
      <c r="W246" s="256"/>
      <c r="X246" s="237"/>
      <c r="Y246" s="256"/>
      <c r="Z246" s="256"/>
      <c r="AA246" s="256"/>
      <c r="AB246" s="256"/>
      <c r="AC246" s="256"/>
      <c r="AD246" s="256"/>
      <c r="AE246" s="256"/>
      <c r="AF246" s="256"/>
      <c r="AG246" s="256"/>
      <c r="AH246" s="256"/>
      <c r="AI246" s="256"/>
      <c r="AJ246" s="256"/>
      <c r="AK246" s="237"/>
      <c r="AL246" s="56"/>
      <c r="AM246" s="56"/>
      <c r="AN246" s="56"/>
      <c r="AO246" s="56"/>
      <c r="AP246" s="56"/>
      <c r="AQ246" s="56"/>
      <c r="AR246" s="56"/>
      <c r="AS246" s="56"/>
      <c r="AT246" s="56"/>
      <c r="AU246" s="56"/>
      <c r="AV246" s="56"/>
      <c r="AW246" s="56"/>
      <c r="AX246" s="56"/>
      <c r="AY246" s="208"/>
      <c r="AZ246" s="211"/>
    </row>
    <row r="247" ht="18" customHeight="1" hidden="1">
      <c r="A247" s="207"/>
      <c r="B247" s="208"/>
      <c r="C247" s="56"/>
      <c r="D247" s="56"/>
      <c r="E247" s="56"/>
      <c r="F247" s="56"/>
      <c r="G247" s="56"/>
      <c r="H247" s="56"/>
      <c r="I247" s="56"/>
      <c r="J247" s="56"/>
      <c r="K247" s="56"/>
      <c r="L247" s="256"/>
      <c r="M247" s="256"/>
      <c r="N247" s="256"/>
      <c r="O247" s="256"/>
      <c r="P247" s="256"/>
      <c r="Q247" s="256"/>
      <c r="R247" s="256"/>
      <c r="S247" s="208"/>
      <c r="T247" s="256"/>
      <c r="U247" s="256"/>
      <c r="V247" s="256"/>
      <c r="W247" s="256"/>
      <c r="X247" s="237"/>
      <c r="Y247" s="256"/>
      <c r="Z247" s="256"/>
      <c r="AA247" s="256"/>
      <c r="AB247" s="256"/>
      <c r="AC247" s="256"/>
      <c r="AD247" s="256"/>
      <c r="AE247" s="256"/>
      <c r="AF247" s="256"/>
      <c r="AG247" s="256"/>
      <c r="AH247" s="256"/>
      <c r="AI247" s="256"/>
      <c r="AJ247" s="256"/>
      <c r="AK247" s="237"/>
      <c r="AL247" s="56"/>
      <c r="AM247" s="56"/>
      <c r="AN247" s="56"/>
      <c r="AO247" s="56"/>
      <c r="AP247" s="56"/>
      <c r="AQ247" s="56"/>
      <c r="AR247" s="56"/>
      <c r="AS247" s="56"/>
      <c r="AT247" s="56"/>
      <c r="AU247" s="56"/>
      <c r="AV247" s="56"/>
      <c r="AW247" s="56"/>
      <c r="AX247" s="56"/>
      <c r="AY247" s="208"/>
      <c r="AZ247" s="211"/>
    </row>
    <row r="248" ht="18" customHeight="1" hidden="1">
      <c r="A248" s="207"/>
      <c r="B248" s="208"/>
      <c r="C248" s="56"/>
      <c r="D248" s="56"/>
      <c r="E248" s="56"/>
      <c r="F248" s="56"/>
      <c r="G248" s="56"/>
      <c r="H248" s="56"/>
      <c r="I248" s="56"/>
      <c r="J248" s="56"/>
      <c r="K248" s="56"/>
      <c r="L248" s="256"/>
      <c r="M248" s="256"/>
      <c r="N248" s="256"/>
      <c r="O248" s="256"/>
      <c r="P248" s="256"/>
      <c r="Q248" s="256"/>
      <c r="R248" s="256"/>
      <c r="S248" s="208"/>
      <c r="T248" s="256"/>
      <c r="U248" s="256"/>
      <c r="V248" s="256"/>
      <c r="W248" s="256"/>
      <c r="X248" s="237"/>
      <c r="Y248" s="256"/>
      <c r="Z248" s="256"/>
      <c r="AA248" s="256"/>
      <c r="AB248" s="256"/>
      <c r="AC248" s="256"/>
      <c r="AD248" s="256"/>
      <c r="AE248" s="256"/>
      <c r="AF248" s="256"/>
      <c r="AG248" s="256"/>
      <c r="AH248" s="256"/>
      <c r="AI248" s="256"/>
      <c r="AJ248" s="256"/>
      <c r="AK248" s="237"/>
      <c r="AL248" s="56"/>
      <c r="AM248" s="56"/>
      <c r="AN248" s="56"/>
      <c r="AO248" s="56"/>
      <c r="AP248" s="56"/>
      <c r="AQ248" s="56"/>
      <c r="AR248" s="56"/>
      <c r="AS248" s="56"/>
      <c r="AT248" s="56"/>
      <c r="AU248" s="56"/>
      <c r="AV248" s="56"/>
      <c r="AW248" s="56"/>
      <c r="AX248" s="56"/>
      <c r="AY248" s="208"/>
      <c r="AZ248" s="211"/>
    </row>
    <row r="249" ht="18" customHeight="1" hidden="1">
      <c r="A249" s="207"/>
      <c r="B249" s="208"/>
      <c r="C249" s="56"/>
      <c r="D249" s="56"/>
      <c r="E249" s="56"/>
      <c r="F249" s="56"/>
      <c r="G249" s="56"/>
      <c r="H249" s="56"/>
      <c r="I249" s="56"/>
      <c r="J249" s="56"/>
      <c r="K249" s="56"/>
      <c r="L249" s="256"/>
      <c r="M249" s="256"/>
      <c r="N249" s="256"/>
      <c r="O249" s="256"/>
      <c r="P249" s="256"/>
      <c r="Q249" s="256"/>
      <c r="R249" s="256"/>
      <c r="S249" s="208"/>
      <c r="T249" s="256"/>
      <c r="U249" s="256"/>
      <c r="V249" s="256"/>
      <c r="W249" s="256"/>
      <c r="X249" s="237"/>
      <c r="Y249" s="256"/>
      <c r="Z249" s="256"/>
      <c r="AA249" s="256"/>
      <c r="AB249" s="256"/>
      <c r="AC249" s="256"/>
      <c r="AD249" s="256"/>
      <c r="AE249" s="256"/>
      <c r="AF249" s="256"/>
      <c r="AG249" s="256"/>
      <c r="AH249" s="256"/>
      <c r="AI249" s="256"/>
      <c r="AJ249" s="256"/>
      <c r="AK249" s="237"/>
      <c r="AL249" s="56"/>
      <c r="AM249" s="56"/>
      <c r="AN249" s="56"/>
      <c r="AO249" s="56"/>
      <c r="AP249" s="56"/>
      <c r="AQ249" s="56"/>
      <c r="AR249" s="56"/>
      <c r="AS249" s="56"/>
      <c r="AT249" s="56"/>
      <c r="AU249" s="56"/>
      <c r="AV249" s="56"/>
      <c r="AW249" s="56"/>
      <c r="AX249" s="56"/>
      <c r="AY249" s="208"/>
      <c r="AZ249" s="211"/>
    </row>
    <row r="250" ht="18" customHeight="1" hidden="1">
      <c r="A250" s="207"/>
      <c r="B250" s="208"/>
      <c r="C250" s="56"/>
      <c r="D250" s="56"/>
      <c r="E250" s="56"/>
      <c r="F250" s="56"/>
      <c r="G250" s="56"/>
      <c r="H250" s="56"/>
      <c r="I250" s="56"/>
      <c r="J250" s="56"/>
      <c r="K250" s="56"/>
      <c r="L250" s="256"/>
      <c r="M250" s="256"/>
      <c r="N250" s="256"/>
      <c r="O250" s="256"/>
      <c r="P250" s="256"/>
      <c r="Q250" s="256"/>
      <c r="R250" s="256"/>
      <c r="S250" s="208"/>
      <c r="T250" s="256"/>
      <c r="U250" s="256"/>
      <c r="V250" s="256"/>
      <c r="W250" s="256"/>
      <c r="X250" s="237"/>
      <c r="Y250" s="256"/>
      <c r="Z250" s="256"/>
      <c r="AA250" s="256"/>
      <c r="AB250" s="256"/>
      <c r="AC250" s="256"/>
      <c r="AD250" s="256"/>
      <c r="AE250" s="256"/>
      <c r="AF250" s="256"/>
      <c r="AG250" s="256"/>
      <c r="AH250" s="256"/>
      <c r="AI250" s="256"/>
      <c r="AJ250" s="256"/>
      <c r="AK250" s="237"/>
      <c r="AL250" s="56"/>
      <c r="AM250" s="56"/>
      <c r="AN250" s="56"/>
      <c r="AO250" s="56"/>
      <c r="AP250" s="56"/>
      <c r="AQ250" s="56"/>
      <c r="AR250" s="56"/>
      <c r="AS250" s="56"/>
      <c r="AT250" s="56"/>
      <c r="AU250" s="56"/>
      <c r="AV250" s="56"/>
      <c r="AW250" s="56"/>
      <c r="AX250" s="56"/>
      <c r="AY250" s="208"/>
      <c r="AZ250" s="211"/>
    </row>
    <row r="251" ht="18" customHeight="1" hidden="1">
      <c r="A251" s="207"/>
      <c r="B251" s="208"/>
      <c r="C251" s="56"/>
      <c r="D251" s="56"/>
      <c r="E251" s="56"/>
      <c r="F251" s="56"/>
      <c r="G251" s="56"/>
      <c r="H251" s="56"/>
      <c r="I251" s="56"/>
      <c r="J251" s="56"/>
      <c r="K251" s="56"/>
      <c r="L251" s="256"/>
      <c r="M251" s="256"/>
      <c r="N251" s="256"/>
      <c r="O251" s="256"/>
      <c r="P251" s="256"/>
      <c r="Q251" s="256"/>
      <c r="R251" s="256"/>
      <c r="S251" s="208"/>
      <c r="T251" s="256"/>
      <c r="U251" s="256"/>
      <c r="V251" s="256"/>
      <c r="W251" s="256"/>
      <c r="X251" s="237"/>
      <c r="Y251" s="256"/>
      <c r="Z251" s="256"/>
      <c r="AA251" s="256"/>
      <c r="AB251" s="256"/>
      <c r="AC251" s="256"/>
      <c r="AD251" s="256"/>
      <c r="AE251" s="256"/>
      <c r="AF251" s="256"/>
      <c r="AG251" s="256"/>
      <c r="AH251" s="256"/>
      <c r="AI251" s="256"/>
      <c r="AJ251" s="256"/>
      <c r="AK251" s="237"/>
      <c r="AL251" s="56"/>
      <c r="AM251" s="56"/>
      <c r="AN251" s="56"/>
      <c r="AO251" s="56"/>
      <c r="AP251" s="56"/>
      <c r="AQ251" s="56"/>
      <c r="AR251" s="56"/>
      <c r="AS251" s="56"/>
      <c r="AT251" s="56"/>
      <c r="AU251" s="56"/>
      <c r="AV251" s="56"/>
      <c r="AW251" s="56"/>
      <c r="AX251" s="56"/>
      <c r="AY251" s="208"/>
      <c r="AZ251" s="211"/>
    </row>
    <row r="252" ht="18" customHeight="1" hidden="1">
      <c r="A252" s="207"/>
      <c r="B252" s="208"/>
      <c r="C252" s="56"/>
      <c r="D252" s="56"/>
      <c r="E252" s="56"/>
      <c r="F252" s="56"/>
      <c r="G252" s="56"/>
      <c r="H252" s="56"/>
      <c r="I252" s="56"/>
      <c r="J252" s="56"/>
      <c r="K252" s="56"/>
      <c r="L252" s="256"/>
      <c r="M252" s="256"/>
      <c r="N252" s="256"/>
      <c r="O252" s="256"/>
      <c r="P252" s="256"/>
      <c r="Q252" s="256"/>
      <c r="R252" s="256"/>
      <c r="S252" s="208"/>
      <c r="T252" s="256"/>
      <c r="U252" s="256"/>
      <c r="V252" s="256"/>
      <c r="W252" s="256"/>
      <c r="X252" s="237"/>
      <c r="Y252" s="256"/>
      <c r="Z252" s="256"/>
      <c r="AA252" s="256"/>
      <c r="AB252" s="256"/>
      <c r="AC252" s="256"/>
      <c r="AD252" s="256"/>
      <c r="AE252" s="256"/>
      <c r="AF252" s="256"/>
      <c r="AG252" s="256"/>
      <c r="AH252" s="256"/>
      <c r="AI252" s="256"/>
      <c r="AJ252" s="256"/>
      <c r="AK252" s="237"/>
      <c r="AL252" s="56"/>
      <c r="AM252" s="56"/>
      <c r="AN252" s="56"/>
      <c r="AO252" s="56"/>
      <c r="AP252" s="56"/>
      <c r="AQ252" s="56"/>
      <c r="AR252" s="56"/>
      <c r="AS252" s="56"/>
      <c r="AT252" s="56"/>
      <c r="AU252" s="56"/>
      <c r="AV252" s="56"/>
      <c r="AW252" s="56"/>
      <c r="AX252" s="56"/>
      <c r="AY252" s="208"/>
      <c r="AZ252" s="211"/>
    </row>
    <row r="253" ht="18" customHeight="1" hidden="1">
      <c r="A253" s="207"/>
      <c r="B253" s="208"/>
      <c r="C253" s="56"/>
      <c r="D253" s="56"/>
      <c r="E253" s="56"/>
      <c r="F253" s="56"/>
      <c r="G253" s="56"/>
      <c r="H253" s="56"/>
      <c r="I253" s="56"/>
      <c r="J253" s="56"/>
      <c r="K253" s="56"/>
      <c r="L253" s="256"/>
      <c r="M253" s="256"/>
      <c r="N253" s="256"/>
      <c r="O253" s="256"/>
      <c r="P253" s="256"/>
      <c r="Q253" s="256"/>
      <c r="R253" s="256"/>
      <c r="S253" s="208"/>
      <c r="T253" s="256"/>
      <c r="U253" s="256"/>
      <c r="V253" s="256"/>
      <c r="W253" s="256"/>
      <c r="X253" s="237"/>
      <c r="Y253" s="256"/>
      <c r="Z253" s="256"/>
      <c r="AA253" s="256"/>
      <c r="AB253" s="256"/>
      <c r="AC253" s="256"/>
      <c r="AD253" s="256"/>
      <c r="AE253" s="256"/>
      <c r="AF253" s="256"/>
      <c r="AG253" s="256"/>
      <c r="AH253" s="256"/>
      <c r="AI253" s="256"/>
      <c r="AJ253" s="256"/>
      <c r="AK253" s="237"/>
      <c r="AL253" s="56"/>
      <c r="AM253" s="56"/>
      <c r="AN253" s="56"/>
      <c r="AO253" s="56"/>
      <c r="AP253" s="56"/>
      <c r="AQ253" s="56"/>
      <c r="AR253" s="56"/>
      <c r="AS253" s="56"/>
      <c r="AT253" s="56"/>
      <c r="AU253" s="56"/>
      <c r="AV253" s="56"/>
      <c r="AW253" s="56"/>
      <c r="AX253" s="56"/>
      <c r="AY253" s="208"/>
      <c r="AZ253" s="211"/>
    </row>
    <row r="254" ht="18" customHeight="1" hidden="1">
      <c r="A254" s="207"/>
      <c r="B254" s="208"/>
      <c r="C254" s="56"/>
      <c r="D254" s="56"/>
      <c r="E254" s="56"/>
      <c r="F254" s="56"/>
      <c r="G254" s="56"/>
      <c r="H254" s="56"/>
      <c r="I254" s="56"/>
      <c r="J254" s="56"/>
      <c r="K254" s="56"/>
      <c r="L254" s="256"/>
      <c r="M254" s="256"/>
      <c r="N254" s="256"/>
      <c r="O254" s="256"/>
      <c r="P254" s="256"/>
      <c r="Q254" s="256"/>
      <c r="R254" s="256"/>
      <c r="S254" s="208"/>
      <c r="T254" s="256"/>
      <c r="U254" s="256"/>
      <c r="V254" s="256"/>
      <c r="W254" s="256"/>
      <c r="X254" s="237"/>
      <c r="Y254" s="256"/>
      <c r="Z254" s="256"/>
      <c r="AA254" s="256"/>
      <c r="AB254" s="256"/>
      <c r="AC254" s="256"/>
      <c r="AD254" s="256"/>
      <c r="AE254" s="256"/>
      <c r="AF254" s="256"/>
      <c r="AG254" s="256"/>
      <c r="AH254" s="256"/>
      <c r="AI254" s="256"/>
      <c r="AJ254" s="256"/>
      <c r="AK254" s="237"/>
      <c r="AL254" s="56"/>
      <c r="AM254" s="56"/>
      <c r="AN254" s="56"/>
      <c r="AO254" s="56"/>
      <c r="AP254" s="56"/>
      <c r="AQ254" s="56"/>
      <c r="AR254" s="56"/>
      <c r="AS254" s="56"/>
      <c r="AT254" s="56"/>
      <c r="AU254" s="56"/>
      <c r="AV254" s="56"/>
      <c r="AW254" s="56"/>
      <c r="AX254" s="56"/>
      <c r="AY254" s="208"/>
      <c r="AZ254" s="211"/>
    </row>
    <row r="255" ht="18" customHeight="1" hidden="1">
      <c r="A255" s="207"/>
      <c r="B255" s="208"/>
      <c r="C255" s="56"/>
      <c r="D255" s="56"/>
      <c r="E255" s="56"/>
      <c r="F255" s="56"/>
      <c r="G255" s="56"/>
      <c r="H255" s="56"/>
      <c r="I255" s="56"/>
      <c r="J255" s="56"/>
      <c r="K255" s="56"/>
      <c r="L255" s="256"/>
      <c r="M255" s="256"/>
      <c r="N255" s="256"/>
      <c r="O255" s="256"/>
      <c r="P255" s="256"/>
      <c r="Q255" s="256"/>
      <c r="R255" s="256"/>
      <c r="S255" s="208"/>
      <c r="T255" s="256"/>
      <c r="U255" s="256"/>
      <c r="V255" s="256"/>
      <c r="W255" s="256"/>
      <c r="X255" s="237"/>
      <c r="Y255" s="256"/>
      <c r="Z255" s="256"/>
      <c r="AA255" s="256"/>
      <c r="AB255" s="256"/>
      <c r="AC255" s="256"/>
      <c r="AD255" s="256"/>
      <c r="AE255" s="256"/>
      <c r="AF255" s="256"/>
      <c r="AG255" s="256"/>
      <c r="AH255" s="256"/>
      <c r="AI255" s="256"/>
      <c r="AJ255" s="256"/>
      <c r="AK255" s="237"/>
      <c r="AL255" s="56"/>
      <c r="AM255" s="56"/>
      <c r="AN255" s="56"/>
      <c r="AO255" s="56"/>
      <c r="AP255" s="56"/>
      <c r="AQ255" s="56"/>
      <c r="AR255" s="56"/>
      <c r="AS255" s="56"/>
      <c r="AT255" s="56"/>
      <c r="AU255" s="56"/>
      <c r="AV255" s="56"/>
      <c r="AW255" s="56"/>
      <c r="AX255" s="56"/>
      <c r="AY255" s="208"/>
      <c r="AZ255" s="211"/>
    </row>
    <row r="256" ht="18" customHeight="1" hidden="1">
      <c r="A256" s="207"/>
      <c r="B256" s="208"/>
      <c r="C256" s="56"/>
      <c r="D256" s="56"/>
      <c r="E256" s="56"/>
      <c r="F256" s="56"/>
      <c r="G256" s="56"/>
      <c r="H256" s="56"/>
      <c r="I256" s="56"/>
      <c r="J256" s="56"/>
      <c r="K256" s="56"/>
      <c r="L256" s="256"/>
      <c r="M256" s="256"/>
      <c r="N256" s="256"/>
      <c r="O256" s="256"/>
      <c r="P256" s="256"/>
      <c r="Q256" s="256"/>
      <c r="R256" s="256"/>
      <c r="S256" s="208"/>
      <c r="T256" s="256"/>
      <c r="U256" s="256"/>
      <c r="V256" s="256"/>
      <c r="W256" s="256"/>
      <c r="X256" s="237"/>
      <c r="Y256" s="256"/>
      <c r="Z256" s="256"/>
      <c r="AA256" s="256"/>
      <c r="AB256" s="256"/>
      <c r="AC256" s="256"/>
      <c r="AD256" s="256"/>
      <c r="AE256" s="256"/>
      <c r="AF256" s="256"/>
      <c r="AG256" s="256"/>
      <c r="AH256" s="256"/>
      <c r="AI256" s="256"/>
      <c r="AJ256" s="256"/>
      <c r="AK256" s="237"/>
      <c r="AL256" s="56"/>
      <c r="AM256" s="56"/>
      <c r="AN256" s="56"/>
      <c r="AO256" s="56"/>
      <c r="AP256" s="56"/>
      <c r="AQ256" s="56"/>
      <c r="AR256" s="56"/>
      <c r="AS256" s="56"/>
      <c r="AT256" s="56"/>
      <c r="AU256" s="56"/>
      <c r="AV256" s="56"/>
      <c r="AW256" s="56"/>
      <c r="AX256" s="56"/>
      <c r="AY256" s="208"/>
      <c r="AZ256" s="211"/>
    </row>
    <row r="257" ht="18" customHeight="1" hidden="1">
      <c r="A257" s="207"/>
      <c r="B257" s="208"/>
      <c r="C257" s="56"/>
      <c r="D257" s="56"/>
      <c r="E257" s="56"/>
      <c r="F257" s="56"/>
      <c r="G257" s="56"/>
      <c r="H257" s="56"/>
      <c r="I257" s="56"/>
      <c r="J257" s="56"/>
      <c r="K257" s="56"/>
      <c r="L257" s="256"/>
      <c r="M257" s="256"/>
      <c r="N257" s="256"/>
      <c r="O257" s="256"/>
      <c r="P257" s="256"/>
      <c r="Q257" s="256"/>
      <c r="R257" s="256"/>
      <c r="S257" s="208"/>
      <c r="T257" s="256"/>
      <c r="U257" s="256"/>
      <c r="V257" s="256"/>
      <c r="W257" s="256"/>
      <c r="X257" s="237"/>
      <c r="Y257" s="256"/>
      <c r="Z257" s="256"/>
      <c r="AA257" s="256"/>
      <c r="AB257" s="256"/>
      <c r="AC257" s="256"/>
      <c r="AD257" s="256"/>
      <c r="AE257" s="256"/>
      <c r="AF257" s="256"/>
      <c r="AG257" s="256"/>
      <c r="AH257" s="256"/>
      <c r="AI257" s="256"/>
      <c r="AJ257" s="256"/>
      <c r="AK257" s="237"/>
      <c r="AL257" s="56"/>
      <c r="AM257" s="56"/>
      <c r="AN257" s="56"/>
      <c r="AO257" s="56"/>
      <c r="AP257" s="56"/>
      <c r="AQ257" s="56"/>
      <c r="AR257" s="56"/>
      <c r="AS257" s="56"/>
      <c r="AT257" s="56"/>
      <c r="AU257" s="56"/>
      <c r="AV257" s="56"/>
      <c r="AW257" s="56"/>
      <c r="AX257" s="56"/>
      <c r="AY257" s="208"/>
      <c r="AZ257" s="211"/>
    </row>
    <row r="258" ht="18" customHeight="1" hidden="1">
      <c r="A258" s="207"/>
      <c r="B258" s="208"/>
      <c r="C258" s="56"/>
      <c r="D258" s="56"/>
      <c r="E258" s="56"/>
      <c r="F258" s="56"/>
      <c r="G258" s="56"/>
      <c r="H258" s="56"/>
      <c r="I258" s="56"/>
      <c r="J258" s="56"/>
      <c r="K258" s="56"/>
      <c r="L258" s="256"/>
      <c r="M258" s="256"/>
      <c r="N258" s="256"/>
      <c r="O258" s="256"/>
      <c r="P258" s="256"/>
      <c r="Q258" s="256"/>
      <c r="R258" s="256"/>
      <c r="S258" s="208"/>
      <c r="T258" s="256"/>
      <c r="U258" s="256"/>
      <c r="V258" s="256"/>
      <c r="W258" s="256"/>
      <c r="X258" s="237"/>
      <c r="Y258" s="256"/>
      <c r="Z258" s="256"/>
      <c r="AA258" s="256"/>
      <c r="AB258" s="256"/>
      <c r="AC258" s="256"/>
      <c r="AD258" s="256"/>
      <c r="AE258" s="256"/>
      <c r="AF258" s="256"/>
      <c r="AG258" s="256"/>
      <c r="AH258" s="256"/>
      <c r="AI258" s="256"/>
      <c r="AJ258" s="256"/>
      <c r="AK258" s="237"/>
      <c r="AL258" s="56"/>
      <c r="AM258" s="56"/>
      <c r="AN258" s="56"/>
      <c r="AO258" s="56"/>
      <c r="AP258" s="56"/>
      <c r="AQ258" s="56"/>
      <c r="AR258" s="56"/>
      <c r="AS258" s="56"/>
      <c r="AT258" s="56"/>
      <c r="AU258" s="56"/>
      <c r="AV258" s="56"/>
      <c r="AW258" s="56"/>
      <c r="AX258" s="56"/>
      <c r="AY258" s="208"/>
      <c r="AZ258" s="211"/>
    </row>
    <row r="259" ht="18" customHeight="1" hidden="1">
      <c r="A259" s="207"/>
      <c r="B259" s="208"/>
      <c r="C259" s="56"/>
      <c r="D259" s="56"/>
      <c r="E259" s="56"/>
      <c r="F259" s="56"/>
      <c r="G259" s="56"/>
      <c r="H259" s="56"/>
      <c r="I259" s="56"/>
      <c r="J259" s="56"/>
      <c r="K259" s="56"/>
      <c r="L259" s="256"/>
      <c r="M259" s="256"/>
      <c r="N259" s="256"/>
      <c r="O259" s="256"/>
      <c r="P259" s="256"/>
      <c r="Q259" s="256"/>
      <c r="R259" s="256"/>
      <c r="S259" s="208"/>
      <c r="T259" s="256"/>
      <c r="U259" s="256"/>
      <c r="V259" s="256"/>
      <c r="W259" s="256"/>
      <c r="X259" s="237"/>
      <c r="Y259" s="256"/>
      <c r="Z259" s="256"/>
      <c r="AA259" s="256"/>
      <c r="AB259" s="256"/>
      <c r="AC259" s="256"/>
      <c r="AD259" s="256"/>
      <c r="AE259" s="256"/>
      <c r="AF259" s="256"/>
      <c r="AG259" s="256"/>
      <c r="AH259" s="256"/>
      <c r="AI259" s="256"/>
      <c r="AJ259" s="256"/>
      <c r="AK259" s="237"/>
      <c r="AL259" s="56"/>
      <c r="AM259" s="56"/>
      <c r="AN259" s="56"/>
      <c r="AO259" s="56"/>
      <c r="AP259" s="56"/>
      <c r="AQ259" s="56"/>
      <c r="AR259" s="56"/>
      <c r="AS259" s="56"/>
      <c r="AT259" s="56"/>
      <c r="AU259" s="56"/>
      <c r="AV259" s="56"/>
      <c r="AW259" s="56"/>
      <c r="AX259" s="56"/>
      <c r="AY259" s="208"/>
      <c r="AZ259" s="211"/>
    </row>
    <row r="260" ht="18" customHeight="1" hidden="1">
      <c r="A260" s="207"/>
      <c r="B260" s="208"/>
      <c r="C260" s="56"/>
      <c r="D260" s="56"/>
      <c r="E260" s="56"/>
      <c r="F260" s="56"/>
      <c r="G260" s="56"/>
      <c r="H260" s="56"/>
      <c r="I260" s="56"/>
      <c r="J260" s="56"/>
      <c r="K260" s="56"/>
      <c r="L260" s="256"/>
      <c r="M260" s="256"/>
      <c r="N260" s="256"/>
      <c r="O260" s="256"/>
      <c r="P260" s="256"/>
      <c r="Q260" s="256"/>
      <c r="R260" s="256"/>
      <c r="S260" s="208"/>
      <c r="T260" s="256"/>
      <c r="U260" s="256"/>
      <c r="V260" s="256"/>
      <c r="W260" s="256"/>
      <c r="X260" s="237"/>
      <c r="Y260" s="256"/>
      <c r="Z260" s="256"/>
      <c r="AA260" s="256"/>
      <c r="AB260" s="256"/>
      <c r="AC260" s="256"/>
      <c r="AD260" s="256"/>
      <c r="AE260" s="256"/>
      <c r="AF260" s="256"/>
      <c r="AG260" s="256"/>
      <c r="AH260" s="256"/>
      <c r="AI260" s="256"/>
      <c r="AJ260" s="256"/>
      <c r="AK260" s="237"/>
      <c r="AL260" s="56"/>
      <c r="AM260" s="56"/>
      <c r="AN260" s="56"/>
      <c r="AO260" s="56"/>
      <c r="AP260" s="56"/>
      <c r="AQ260" s="56"/>
      <c r="AR260" s="56"/>
      <c r="AS260" s="56"/>
      <c r="AT260" s="56"/>
      <c r="AU260" s="56"/>
      <c r="AV260" s="56"/>
      <c r="AW260" s="56"/>
      <c r="AX260" s="56"/>
      <c r="AY260" s="208"/>
      <c r="AZ260" s="211"/>
    </row>
    <row r="261" ht="18" customHeight="1" hidden="1">
      <c r="A261" s="207"/>
      <c r="B261" s="208"/>
      <c r="C261" s="56"/>
      <c r="D261" s="56"/>
      <c r="E261" s="56"/>
      <c r="F261" s="56"/>
      <c r="G261" s="56"/>
      <c r="H261" s="56"/>
      <c r="I261" s="56"/>
      <c r="J261" s="56"/>
      <c r="K261" s="56"/>
      <c r="L261" s="256"/>
      <c r="M261" s="256"/>
      <c r="N261" s="256"/>
      <c r="O261" s="256"/>
      <c r="P261" s="256"/>
      <c r="Q261" s="256"/>
      <c r="R261" s="256"/>
      <c r="S261" s="208"/>
      <c r="T261" s="256"/>
      <c r="U261" s="256"/>
      <c r="V261" s="256"/>
      <c r="W261" s="256"/>
      <c r="X261" s="237"/>
      <c r="Y261" s="256"/>
      <c r="Z261" s="256"/>
      <c r="AA261" s="256"/>
      <c r="AB261" s="256"/>
      <c r="AC261" s="256"/>
      <c r="AD261" s="256"/>
      <c r="AE261" s="256"/>
      <c r="AF261" s="256"/>
      <c r="AG261" s="256"/>
      <c r="AH261" s="256"/>
      <c r="AI261" s="256"/>
      <c r="AJ261" s="256"/>
      <c r="AK261" s="237"/>
      <c r="AL261" s="56"/>
      <c r="AM261" s="56"/>
      <c r="AN261" s="56"/>
      <c r="AO261" s="56"/>
      <c r="AP261" s="56"/>
      <c r="AQ261" s="56"/>
      <c r="AR261" s="56"/>
      <c r="AS261" s="56"/>
      <c r="AT261" s="56"/>
      <c r="AU261" s="56"/>
      <c r="AV261" s="56"/>
      <c r="AW261" s="56"/>
      <c r="AX261" s="56"/>
      <c r="AY261" s="208"/>
      <c r="AZ261" s="211"/>
    </row>
    <row r="262" ht="18" customHeight="1" hidden="1">
      <c r="A262" s="207"/>
      <c r="B262" s="208"/>
      <c r="C262" s="56"/>
      <c r="D262" s="56"/>
      <c r="E262" s="56"/>
      <c r="F262" s="56"/>
      <c r="G262" s="56"/>
      <c r="H262" s="56"/>
      <c r="I262" s="56"/>
      <c r="J262" s="56"/>
      <c r="K262" s="56"/>
      <c r="L262" s="256"/>
      <c r="M262" s="256"/>
      <c r="N262" s="256"/>
      <c r="O262" s="256"/>
      <c r="P262" s="256"/>
      <c r="Q262" s="256"/>
      <c r="R262" s="256"/>
      <c r="S262" s="208"/>
      <c r="T262" s="256"/>
      <c r="U262" s="256"/>
      <c r="V262" s="256"/>
      <c r="W262" s="256"/>
      <c r="X262" s="237"/>
      <c r="Y262" s="256"/>
      <c r="Z262" s="256"/>
      <c r="AA262" s="256"/>
      <c r="AB262" s="256"/>
      <c r="AC262" s="256"/>
      <c r="AD262" s="256"/>
      <c r="AE262" s="256"/>
      <c r="AF262" s="256"/>
      <c r="AG262" s="256"/>
      <c r="AH262" s="256"/>
      <c r="AI262" s="256"/>
      <c r="AJ262" s="256"/>
      <c r="AK262" s="237"/>
      <c r="AL262" s="56"/>
      <c r="AM262" s="56"/>
      <c r="AN262" s="56"/>
      <c r="AO262" s="56"/>
      <c r="AP262" s="56"/>
      <c r="AQ262" s="56"/>
      <c r="AR262" s="56"/>
      <c r="AS262" s="56"/>
      <c r="AT262" s="56"/>
      <c r="AU262" s="56"/>
      <c r="AV262" s="56"/>
      <c r="AW262" s="56"/>
      <c r="AX262" s="56"/>
      <c r="AY262" s="208"/>
      <c r="AZ262" s="211"/>
    </row>
    <row r="263" ht="18" customHeight="1" hidden="1">
      <c r="A263" s="207"/>
      <c r="B263" s="208"/>
      <c r="C263" s="56"/>
      <c r="D263" s="56"/>
      <c r="E263" s="56"/>
      <c r="F263" s="56"/>
      <c r="G263" s="56"/>
      <c r="H263" s="56"/>
      <c r="I263" s="56"/>
      <c r="J263" s="56"/>
      <c r="K263" s="56"/>
      <c r="L263" s="256"/>
      <c r="M263" s="256"/>
      <c r="N263" s="256"/>
      <c r="O263" s="256"/>
      <c r="P263" s="256"/>
      <c r="Q263" s="256"/>
      <c r="R263" s="256"/>
      <c r="S263" s="208"/>
      <c r="T263" s="256"/>
      <c r="U263" s="256"/>
      <c r="V263" s="256"/>
      <c r="W263" s="256"/>
      <c r="X263" s="237"/>
      <c r="Y263" s="256"/>
      <c r="Z263" s="256"/>
      <c r="AA263" s="256"/>
      <c r="AB263" s="256"/>
      <c r="AC263" s="256"/>
      <c r="AD263" s="256"/>
      <c r="AE263" s="256"/>
      <c r="AF263" s="256"/>
      <c r="AG263" s="256"/>
      <c r="AH263" s="256"/>
      <c r="AI263" s="256"/>
      <c r="AJ263" s="256"/>
      <c r="AK263" s="237"/>
      <c r="AL263" s="56"/>
      <c r="AM263" s="56"/>
      <c r="AN263" s="56"/>
      <c r="AO263" s="56"/>
      <c r="AP263" s="56"/>
      <c r="AQ263" s="56"/>
      <c r="AR263" s="56"/>
      <c r="AS263" s="56"/>
      <c r="AT263" s="56"/>
      <c r="AU263" s="56"/>
      <c r="AV263" s="56"/>
      <c r="AW263" s="56"/>
      <c r="AX263" s="56"/>
      <c r="AY263" s="208"/>
      <c r="AZ263" s="211"/>
    </row>
    <row r="264" ht="18" customHeight="1" hidden="1">
      <c r="A264" s="207"/>
      <c r="B264" s="208"/>
      <c r="C264" s="56"/>
      <c r="D264" s="56"/>
      <c r="E264" s="56"/>
      <c r="F264" s="56"/>
      <c r="G264" s="56"/>
      <c r="H264" s="56"/>
      <c r="I264" s="56"/>
      <c r="J264" s="56"/>
      <c r="K264" s="56"/>
      <c r="L264" s="256"/>
      <c r="M264" s="256"/>
      <c r="N264" s="256"/>
      <c r="O264" s="256"/>
      <c r="P264" s="256"/>
      <c r="Q264" s="256"/>
      <c r="R264" s="256"/>
      <c r="S264" s="208"/>
      <c r="T264" s="256"/>
      <c r="U264" s="256"/>
      <c r="V264" s="256"/>
      <c r="W264" s="256"/>
      <c r="X264" s="237"/>
      <c r="Y264" s="256"/>
      <c r="Z264" s="256"/>
      <c r="AA264" s="256"/>
      <c r="AB264" s="256"/>
      <c r="AC264" s="256"/>
      <c r="AD264" s="256"/>
      <c r="AE264" s="256"/>
      <c r="AF264" s="256"/>
      <c r="AG264" s="256"/>
      <c r="AH264" s="256"/>
      <c r="AI264" s="256"/>
      <c r="AJ264" s="256"/>
      <c r="AK264" s="237"/>
      <c r="AL264" s="56"/>
      <c r="AM264" s="56"/>
      <c r="AN264" s="56"/>
      <c r="AO264" s="56"/>
      <c r="AP264" s="56"/>
      <c r="AQ264" s="56"/>
      <c r="AR264" s="56"/>
      <c r="AS264" s="56"/>
      <c r="AT264" s="56"/>
      <c r="AU264" s="56"/>
      <c r="AV264" s="56"/>
      <c r="AW264" s="56"/>
      <c r="AX264" s="56"/>
      <c r="AY264" s="208"/>
      <c r="AZ264" s="211"/>
    </row>
    <row r="265" ht="18" customHeight="1" hidden="1">
      <c r="A265" s="207"/>
      <c r="B265" s="208"/>
      <c r="C265" s="56"/>
      <c r="D265" s="56"/>
      <c r="E265" s="56"/>
      <c r="F265" s="56"/>
      <c r="G265" s="56"/>
      <c r="H265" s="56"/>
      <c r="I265" s="56"/>
      <c r="J265" s="56"/>
      <c r="K265" s="56"/>
      <c r="L265" s="256"/>
      <c r="M265" s="256"/>
      <c r="N265" s="256"/>
      <c r="O265" s="256"/>
      <c r="P265" s="256"/>
      <c r="Q265" s="256"/>
      <c r="R265" s="256"/>
      <c r="S265" s="208"/>
      <c r="T265" s="256"/>
      <c r="U265" s="256"/>
      <c r="V265" s="256"/>
      <c r="W265" s="256"/>
      <c r="X265" s="237"/>
      <c r="Y265" s="256"/>
      <c r="Z265" s="256"/>
      <c r="AA265" s="256"/>
      <c r="AB265" s="256"/>
      <c r="AC265" s="256"/>
      <c r="AD265" s="256"/>
      <c r="AE265" s="256"/>
      <c r="AF265" s="256"/>
      <c r="AG265" s="256"/>
      <c r="AH265" s="256"/>
      <c r="AI265" s="256"/>
      <c r="AJ265" s="256"/>
      <c r="AK265" s="237"/>
      <c r="AL265" s="56"/>
      <c r="AM265" s="56"/>
      <c r="AN265" s="56"/>
      <c r="AO265" s="56"/>
      <c r="AP265" s="56"/>
      <c r="AQ265" s="56"/>
      <c r="AR265" s="56"/>
      <c r="AS265" s="56"/>
      <c r="AT265" s="56"/>
      <c r="AU265" s="56"/>
      <c r="AV265" s="56"/>
      <c r="AW265" s="56"/>
      <c r="AX265" s="56"/>
      <c r="AY265" s="208"/>
      <c r="AZ265" s="211"/>
    </row>
    <row r="266" ht="18" customHeight="1" hidden="1">
      <c r="A266" s="207"/>
      <c r="B266" s="208"/>
      <c r="C266" s="56"/>
      <c r="D266" s="56"/>
      <c r="E266" s="56"/>
      <c r="F266" s="56"/>
      <c r="G266" s="56"/>
      <c r="H266" s="56"/>
      <c r="I266" s="56"/>
      <c r="J266" s="56"/>
      <c r="K266" s="56"/>
      <c r="L266" s="256"/>
      <c r="M266" s="256"/>
      <c r="N266" s="256"/>
      <c r="O266" s="256"/>
      <c r="P266" s="256"/>
      <c r="Q266" s="256"/>
      <c r="R266" s="256"/>
      <c r="S266" s="208"/>
      <c r="T266" s="256"/>
      <c r="U266" s="256"/>
      <c r="V266" s="256"/>
      <c r="W266" s="256"/>
      <c r="X266" s="237"/>
      <c r="Y266" s="256"/>
      <c r="Z266" s="256"/>
      <c r="AA266" s="256"/>
      <c r="AB266" s="256"/>
      <c r="AC266" s="256"/>
      <c r="AD266" s="256"/>
      <c r="AE266" s="256"/>
      <c r="AF266" s="256"/>
      <c r="AG266" s="256"/>
      <c r="AH266" s="256"/>
      <c r="AI266" s="256"/>
      <c r="AJ266" s="256"/>
      <c r="AK266" s="237"/>
      <c r="AL266" s="56"/>
      <c r="AM266" s="56"/>
      <c r="AN266" s="56"/>
      <c r="AO266" s="56"/>
      <c r="AP266" s="56"/>
      <c r="AQ266" s="56"/>
      <c r="AR266" s="56"/>
      <c r="AS266" s="56"/>
      <c r="AT266" s="56"/>
      <c r="AU266" s="56"/>
      <c r="AV266" s="56"/>
      <c r="AW266" s="56"/>
      <c r="AX266" s="56"/>
      <c r="AY266" s="208"/>
      <c r="AZ266" s="211"/>
    </row>
    <row r="267" ht="18" customHeight="1" hidden="1">
      <c r="A267" s="207"/>
      <c r="B267" s="208"/>
      <c r="C267" s="56"/>
      <c r="D267" s="56"/>
      <c r="E267" s="56"/>
      <c r="F267" s="56"/>
      <c r="G267" s="56"/>
      <c r="H267" s="56"/>
      <c r="I267" s="56"/>
      <c r="J267" s="56"/>
      <c r="K267" s="56"/>
      <c r="L267" s="256"/>
      <c r="M267" s="256"/>
      <c r="N267" s="256"/>
      <c r="O267" s="256"/>
      <c r="P267" s="256"/>
      <c r="Q267" s="256"/>
      <c r="R267" s="256"/>
      <c r="S267" s="208"/>
      <c r="T267" s="256"/>
      <c r="U267" s="256"/>
      <c r="V267" s="256"/>
      <c r="W267" s="256"/>
      <c r="X267" s="237"/>
      <c r="Y267" s="256"/>
      <c r="Z267" s="256"/>
      <c r="AA267" s="256"/>
      <c r="AB267" s="256"/>
      <c r="AC267" s="256"/>
      <c r="AD267" s="256"/>
      <c r="AE267" s="256"/>
      <c r="AF267" s="256"/>
      <c r="AG267" s="256"/>
      <c r="AH267" s="256"/>
      <c r="AI267" s="256"/>
      <c r="AJ267" s="256"/>
      <c r="AK267" s="237"/>
      <c r="AL267" s="56"/>
      <c r="AM267" s="56"/>
      <c r="AN267" s="56"/>
      <c r="AO267" s="56"/>
      <c r="AP267" s="56"/>
      <c r="AQ267" s="56"/>
      <c r="AR267" s="56"/>
      <c r="AS267" s="56"/>
      <c r="AT267" s="56"/>
      <c r="AU267" s="56"/>
      <c r="AV267" s="56"/>
      <c r="AW267" s="56"/>
      <c r="AX267" s="56"/>
      <c r="AY267" s="208"/>
      <c r="AZ267" s="211"/>
    </row>
    <row r="268" ht="18" customHeight="1" hidden="1">
      <c r="A268" s="207"/>
      <c r="B268" s="208"/>
      <c r="C268" s="56"/>
      <c r="D268" s="56"/>
      <c r="E268" s="56"/>
      <c r="F268" s="56"/>
      <c r="G268" s="56"/>
      <c r="H268" s="56"/>
      <c r="I268" s="56"/>
      <c r="J268" s="56"/>
      <c r="K268" s="56"/>
      <c r="L268" s="256"/>
      <c r="M268" s="256"/>
      <c r="N268" s="256"/>
      <c r="O268" s="256"/>
      <c r="P268" s="256"/>
      <c r="Q268" s="256"/>
      <c r="R268" s="256"/>
      <c r="S268" s="208"/>
      <c r="T268" s="256"/>
      <c r="U268" s="256"/>
      <c r="V268" s="256"/>
      <c r="W268" s="256"/>
      <c r="X268" s="237"/>
      <c r="Y268" s="256"/>
      <c r="Z268" s="256"/>
      <c r="AA268" s="256"/>
      <c r="AB268" s="256"/>
      <c r="AC268" s="256"/>
      <c r="AD268" s="256"/>
      <c r="AE268" s="256"/>
      <c r="AF268" s="256"/>
      <c r="AG268" s="256"/>
      <c r="AH268" s="256"/>
      <c r="AI268" s="256"/>
      <c r="AJ268" s="256"/>
      <c r="AK268" s="237"/>
      <c r="AL268" s="56"/>
      <c r="AM268" s="56"/>
      <c r="AN268" s="56"/>
      <c r="AO268" s="56"/>
      <c r="AP268" s="56"/>
      <c r="AQ268" s="56"/>
      <c r="AR268" s="56"/>
      <c r="AS268" s="56"/>
      <c r="AT268" s="56"/>
      <c r="AU268" s="56"/>
      <c r="AV268" s="56"/>
      <c r="AW268" s="56"/>
      <c r="AX268" s="56"/>
      <c r="AY268" s="208"/>
      <c r="AZ268" s="211"/>
    </row>
    <row r="269" ht="18" customHeight="1" hidden="1">
      <c r="A269" s="207"/>
      <c r="B269" s="208"/>
      <c r="C269" s="56"/>
      <c r="D269" s="56"/>
      <c r="E269" s="56"/>
      <c r="F269" s="56"/>
      <c r="G269" s="56"/>
      <c r="H269" s="56"/>
      <c r="I269" s="56"/>
      <c r="J269" s="56"/>
      <c r="K269" s="56"/>
      <c r="L269" s="256"/>
      <c r="M269" s="256"/>
      <c r="N269" s="256"/>
      <c r="O269" s="256"/>
      <c r="P269" s="256"/>
      <c r="Q269" s="256"/>
      <c r="R269" s="256"/>
      <c r="S269" s="208"/>
      <c r="T269" s="256"/>
      <c r="U269" s="256"/>
      <c r="V269" s="256"/>
      <c r="W269" s="256"/>
      <c r="X269" s="237"/>
      <c r="Y269" s="256"/>
      <c r="Z269" s="256"/>
      <c r="AA269" s="256"/>
      <c r="AB269" s="256"/>
      <c r="AC269" s="256"/>
      <c r="AD269" s="256"/>
      <c r="AE269" s="256"/>
      <c r="AF269" s="256"/>
      <c r="AG269" s="256"/>
      <c r="AH269" s="256"/>
      <c r="AI269" s="256"/>
      <c r="AJ269" s="256"/>
      <c r="AK269" s="237"/>
      <c r="AL269" s="56"/>
      <c r="AM269" s="56"/>
      <c r="AN269" s="56"/>
      <c r="AO269" s="56"/>
      <c r="AP269" s="56"/>
      <c r="AQ269" s="56"/>
      <c r="AR269" s="56"/>
      <c r="AS269" s="56"/>
      <c r="AT269" s="56"/>
      <c r="AU269" s="56"/>
      <c r="AV269" s="56"/>
      <c r="AW269" s="56"/>
      <c r="AX269" s="56"/>
      <c r="AY269" s="208"/>
      <c r="AZ269" s="211"/>
    </row>
    <row r="270" ht="18" customHeight="1" hidden="1">
      <c r="A270" s="207"/>
      <c r="B270" s="208"/>
      <c r="C270" s="56"/>
      <c r="D270" s="56"/>
      <c r="E270" s="56"/>
      <c r="F270" s="56"/>
      <c r="G270" s="56"/>
      <c r="H270" s="56"/>
      <c r="I270" s="56"/>
      <c r="J270" s="56"/>
      <c r="K270" s="56"/>
      <c r="L270" s="256"/>
      <c r="M270" s="256"/>
      <c r="N270" s="256"/>
      <c r="O270" s="256"/>
      <c r="P270" s="256"/>
      <c r="Q270" s="256"/>
      <c r="R270" s="256"/>
      <c r="S270" s="208"/>
      <c r="T270" s="256"/>
      <c r="U270" s="256"/>
      <c r="V270" s="256"/>
      <c r="W270" s="256"/>
      <c r="X270" s="237"/>
      <c r="Y270" s="256"/>
      <c r="Z270" s="256"/>
      <c r="AA270" s="256"/>
      <c r="AB270" s="256"/>
      <c r="AC270" s="256"/>
      <c r="AD270" s="256"/>
      <c r="AE270" s="256"/>
      <c r="AF270" s="256"/>
      <c r="AG270" s="256"/>
      <c r="AH270" s="256"/>
      <c r="AI270" s="256"/>
      <c r="AJ270" s="256"/>
      <c r="AK270" s="237"/>
      <c r="AL270" s="56"/>
      <c r="AM270" s="56"/>
      <c r="AN270" s="56"/>
      <c r="AO270" s="56"/>
      <c r="AP270" s="56"/>
      <c r="AQ270" s="56"/>
      <c r="AR270" s="56"/>
      <c r="AS270" s="56"/>
      <c r="AT270" s="56"/>
      <c r="AU270" s="56"/>
      <c r="AV270" s="56"/>
      <c r="AW270" s="56"/>
      <c r="AX270" s="56"/>
      <c r="AY270" s="208"/>
      <c r="AZ270" s="211"/>
    </row>
    <row r="271" ht="18" customHeight="1" hidden="1">
      <c r="A271" s="207"/>
      <c r="B271" s="208"/>
      <c r="C271" s="56"/>
      <c r="D271" s="56"/>
      <c r="E271" s="56"/>
      <c r="F271" s="56"/>
      <c r="G271" s="56"/>
      <c r="H271" s="56"/>
      <c r="I271" s="56"/>
      <c r="J271" s="56"/>
      <c r="K271" s="56"/>
      <c r="L271" s="256"/>
      <c r="M271" s="256"/>
      <c r="N271" s="256"/>
      <c r="O271" s="256"/>
      <c r="P271" s="256"/>
      <c r="Q271" s="256"/>
      <c r="R271" s="256"/>
      <c r="S271" s="208"/>
      <c r="T271" s="256"/>
      <c r="U271" s="256"/>
      <c r="V271" s="256"/>
      <c r="W271" s="256"/>
      <c r="X271" s="237"/>
      <c r="Y271" s="256"/>
      <c r="Z271" s="256"/>
      <c r="AA271" s="256"/>
      <c r="AB271" s="256"/>
      <c r="AC271" s="256"/>
      <c r="AD271" s="256"/>
      <c r="AE271" s="256"/>
      <c r="AF271" s="256"/>
      <c r="AG271" s="256"/>
      <c r="AH271" s="256"/>
      <c r="AI271" s="256"/>
      <c r="AJ271" s="256"/>
      <c r="AK271" s="237"/>
      <c r="AL271" s="56"/>
      <c r="AM271" s="56"/>
      <c r="AN271" s="56"/>
      <c r="AO271" s="56"/>
      <c r="AP271" s="56"/>
      <c r="AQ271" s="56"/>
      <c r="AR271" s="56"/>
      <c r="AS271" s="56"/>
      <c r="AT271" s="56"/>
      <c r="AU271" s="56"/>
      <c r="AV271" s="56"/>
      <c r="AW271" s="56"/>
      <c r="AX271" s="56"/>
      <c r="AY271" s="208"/>
      <c r="AZ271" s="211"/>
    </row>
    <row r="272" ht="18" customHeight="1" hidden="1">
      <c r="A272" s="207"/>
      <c r="B272" s="208"/>
      <c r="C272" s="56"/>
      <c r="D272" s="56"/>
      <c r="E272" s="56"/>
      <c r="F272" s="56"/>
      <c r="G272" s="56"/>
      <c r="H272" s="56"/>
      <c r="I272" s="56"/>
      <c r="J272" s="56"/>
      <c r="K272" s="56"/>
      <c r="L272" s="256"/>
      <c r="M272" s="256"/>
      <c r="N272" s="256"/>
      <c r="O272" s="256"/>
      <c r="P272" s="256"/>
      <c r="Q272" s="256"/>
      <c r="R272" s="256"/>
      <c r="S272" s="208"/>
      <c r="T272" s="256"/>
      <c r="U272" s="256"/>
      <c r="V272" s="256"/>
      <c r="W272" s="256"/>
      <c r="X272" s="237"/>
      <c r="Y272" s="256"/>
      <c r="Z272" s="256"/>
      <c r="AA272" s="256"/>
      <c r="AB272" s="256"/>
      <c r="AC272" s="256"/>
      <c r="AD272" s="256"/>
      <c r="AE272" s="256"/>
      <c r="AF272" s="256"/>
      <c r="AG272" s="256"/>
      <c r="AH272" s="256"/>
      <c r="AI272" s="256"/>
      <c r="AJ272" s="256"/>
      <c r="AK272" s="237"/>
      <c r="AL272" s="56"/>
      <c r="AM272" s="56"/>
      <c r="AN272" s="56"/>
      <c r="AO272" s="56"/>
      <c r="AP272" s="56"/>
      <c r="AQ272" s="56"/>
      <c r="AR272" s="56"/>
      <c r="AS272" s="56"/>
      <c r="AT272" s="56"/>
      <c r="AU272" s="56"/>
      <c r="AV272" s="56"/>
      <c r="AW272" s="56"/>
      <c r="AX272" s="56"/>
      <c r="AY272" s="208"/>
      <c r="AZ272" s="211"/>
    </row>
    <row r="273" ht="18" customHeight="1" hidden="1">
      <c r="A273" s="207"/>
      <c r="B273" s="208"/>
      <c r="C273" s="56"/>
      <c r="D273" s="56"/>
      <c r="E273" s="56"/>
      <c r="F273" s="56"/>
      <c r="G273" s="56"/>
      <c r="H273" s="56"/>
      <c r="I273" s="56"/>
      <c r="J273" s="56"/>
      <c r="K273" s="56"/>
      <c r="L273" s="256"/>
      <c r="M273" s="256"/>
      <c r="N273" s="256"/>
      <c r="O273" s="256"/>
      <c r="P273" s="256"/>
      <c r="Q273" s="256"/>
      <c r="R273" s="256"/>
      <c r="S273" s="208"/>
      <c r="T273" s="256"/>
      <c r="U273" s="256"/>
      <c r="V273" s="256"/>
      <c r="W273" s="256"/>
      <c r="X273" s="237"/>
      <c r="Y273" s="256"/>
      <c r="Z273" s="256"/>
      <c r="AA273" s="256"/>
      <c r="AB273" s="256"/>
      <c r="AC273" s="256"/>
      <c r="AD273" s="256"/>
      <c r="AE273" s="256"/>
      <c r="AF273" s="256"/>
      <c r="AG273" s="256"/>
      <c r="AH273" s="256"/>
      <c r="AI273" s="256"/>
      <c r="AJ273" s="256"/>
      <c r="AK273" s="237"/>
      <c r="AL273" s="56"/>
      <c r="AM273" s="56"/>
      <c r="AN273" s="56"/>
      <c r="AO273" s="56"/>
      <c r="AP273" s="56"/>
      <c r="AQ273" s="56"/>
      <c r="AR273" s="56"/>
      <c r="AS273" s="56"/>
      <c r="AT273" s="56"/>
      <c r="AU273" s="56"/>
      <c r="AV273" s="56"/>
      <c r="AW273" s="56"/>
      <c r="AX273" s="56"/>
      <c r="AY273" s="208"/>
      <c r="AZ273" s="211"/>
    </row>
    <row r="274" ht="18" customHeight="1" hidden="1">
      <c r="A274" s="207"/>
      <c r="B274" s="208"/>
      <c r="C274" s="56"/>
      <c r="D274" s="56"/>
      <c r="E274" s="56"/>
      <c r="F274" s="56"/>
      <c r="G274" s="56"/>
      <c r="H274" s="56"/>
      <c r="I274" s="56"/>
      <c r="J274" s="56"/>
      <c r="K274" s="56"/>
      <c r="L274" s="256"/>
      <c r="M274" s="256"/>
      <c r="N274" s="256"/>
      <c r="O274" s="256"/>
      <c r="P274" s="256"/>
      <c r="Q274" s="256"/>
      <c r="R274" s="256"/>
      <c r="S274" s="208"/>
      <c r="T274" s="256"/>
      <c r="U274" s="256"/>
      <c r="V274" s="256"/>
      <c r="W274" s="256"/>
      <c r="X274" s="237"/>
      <c r="Y274" s="256"/>
      <c r="Z274" s="256"/>
      <c r="AA274" s="256"/>
      <c r="AB274" s="256"/>
      <c r="AC274" s="256"/>
      <c r="AD274" s="256"/>
      <c r="AE274" s="256"/>
      <c r="AF274" s="256"/>
      <c r="AG274" s="256"/>
      <c r="AH274" s="256"/>
      <c r="AI274" s="256"/>
      <c r="AJ274" s="256"/>
      <c r="AK274" s="237"/>
      <c r="AL274" s="56"/>
      <c r="AM274" s="56"/>
      <c r="AN274" s="56"/>
      <c r="AO274" s="56"/>
      <c r="AP274" s="56"/>
      <c r="AQ274" s="56"/>
      <c r="AR274" s="56"/>
      <c r="AS274" s="56"/>
      <c r="AT274" s="56"/>
      <c r="AU274" s="56"/>
      <c r="AV274" s="56"/>
      <c r="AW274" s="56"/>
      <c r="AX274" s="56"/>
      <c r="AY274" s="208"/>
      <c r="AZ274" s="211"/>
    </row>
    <row r="275" ht="18" customHeight="1" hidden="1">
      <c r="A275" s="207"/>
      <c r="B275" s="208"/>
      <c r="C275" s="56"/>
      <c r="D275" s="56"/>
      <c r="E275" s="56"/>
      <c r="F275" s="56"/>
      <c r="G275" s="56"/>
      <c r="H275" s="56"/>
      <c r="I275" s="56"/>
      <c r="J275" s="56"/>
      <c r="K275" s="56"/>
      <c r="L275" s="256"/>
      <c r="M275" s="256"/>
      <c r="N275" s="256"/>
      <c r="O275" s="256"/>
      <c r="P275" s="256"/>
      <c r="Q275" s="256"/>
      <c r="R275" s="256"/>
      <c r="S275" s="208"/>
      <c r="T275" s="256"/>
      <c r="U275" s="256"/>
      <c r="V275" s="256"/>
      <c r="W275" s="256"/>
      <c r="X275" s="237"/>
      <c r="Y275" s="256"/>
      <c r="Z275" s="256"/>
      <c r="AA275" s="256"/>
      <c r="AB275" s="256"/>
      <c r="AC275" s="256"/>
      <c r="AD275" s="256"/>
      <c r="AE275" s="256"/>
      <c r="AF275" s="256"/>
      <c r="AG275" s="256"/>
      <c r="AH275" s="256"/>
      <c r="AI275" s="256"/>
      <c r="AJ275" s="256"/>
      <c r="AK275" s="237"/>
      <c r="AL275" s="56"/>
      <c r="AM275" s="56"/>
      <c r="AN275" s="56"/>
      <c r="AO275" s="56"/>
      <c r="AP275" s="56"/>
      <c r="AQ275" s="56"/>
      <c r="AR275" s="56"/>
      <c r="AS275" s="56"/>
      <c r="AT275" s="56"/>
      <c r="AU275" s="56"/>
      <c r="AV275" s="56"/>
      <c r="AW275" s="56"/>
      <c r="AX275" s="56"/>
      <c r="AY275" s="208"/>
      <c r="AZ275" s="211"/>
    </row>
    <row r="276" ht="18" customHeight="1" hidden="1">
      <c r="A276" s="207"/>
      <c r="B276" s="208"/>
      <c r="C276" s="56"/>
      <c r="D276" s="56"/>
      <c r="E276" s="56"/>
      <c r="F276" s="56"/>
      <c r="G276" s="56"/>
      <c r="H276" s="56"/>
      <c r="I276" s="56"/>
      <c r="J276" s="56"/>
      <c r="K276" s="56"/>
      <c r="L276" s="256"/>
      <c r="M276" s="256"/>
      <c r="N276" s="256"/>
      <c r="O276" s="256"/>
      <c r="P276" s="256"/>
      <c r="Q276" s="256"/>
      <c r="R276" s="256"/>
      <c r="S276" s="208"/>
      <c r="T276" s="256"/>
      <c r="U276" s="256"/>
      <c r="V276" s="256"/>
      <c r="W276" s="256"/>
      <c r="X276" s="237"/>
      <c r="Y276" s="256"/>
      <c r="Z276" s="256"/>
      <c r="AA276" s="256"/>
      <c r="AB276" s="256"/>
      <c r="AC276" s="256"/>
      <c r="AD276" s="256"/>
      <c r="AE276" s="256"/>
      <c r="AF276" s="256"/>
      <c r="AG276" s="256"/>
      <c r="AH276" s="256"/>
      <c r="AI276" s="256"/>
      <c r="AJ276" s="256"/>
      <c r="AK276" s="237"/>
      <c r="AL276" s="56"/>
      <c r="AM276" s="56"/>
      <c r="AN276" s="56"/>
      <c r="AO276" s="56"/>
      <c r="AP276" s="56"/>
      <c r="AQ276" s="56"/>
      <c r="AR276" s="56"/>
      <c r="AS276" s="56"/>
      <c r="AT276" s="56"/>
      <c r="AU276" s="56"/>
      <c r="AV276" s="56"/>
      <c r="AW276" s="56"/>
      <c r="AX276" s="56"/>
      <c r="AY276" s="208"/>
      <c r="AZ276" s="211"/>
    </row>
    <row r="277" ht="18" customHeight="1" hidden="1">
      <c r="A277" s="207"/>
      <c r="B277" s="208"/>
      <c r="C277" s="56"/>
      <c r="D277" s="56"/>
      <c r="E277" s="56"/>
      <c r="F277" s="56"/>
      <c r="G277" s="56"/>
      <c r="H277" s="56"/>
      <c r="I277" s="56"/>
      <c r="J277" s="56"/>
      <c r="K277" s="56"/>
      <c r="L277" s="256"/>
      <c r="M277" s="256"/>
      <c r="N277" s="256"/>
      <c r="O277" s="256"/>
      <c r="P277" s="256"/>
      <c r="Q277" s="256"/>
      <c r="R277" s="256"/>
      <c r="S277" s="208"/>
      <c r="T277" s="256"/>
      <c r="U277" s="256"/>
      <c r="V277" s="256"/>
      <c r="W277" s="256"/>
      <c r="X277" s="237"/>
      <c r="Y277" s="256"/>
      <c r="Z277" s="256"/>
      <c r="AA277" s="256"/>
      <c r="AB277" s="256"/>
      <c r="AC277" s="256"/>
      <c r="AD277" s="256"/>
      <c r="AE277" s="256"/>
      <c r="AF277" s="256"/>
      <c r="AG277" s="256"/>
      <c r="AH277" s="256"/>
      <c r="AI277" s="256"/>
      <c r="AJ277" s="256"/>
      <c r="AK277" s="237"/>
      <c r="AL277" s="56"/>
      <c r="AM277" s="56"/>
      <c r="AN277" s="56"/>
      <c r="AO277" s="56"/>
      <c r="AP277" s="56"/>
      <c r="AQ277" s="56"/>
      <c r="AR277" s="56"/>
      <c r="AS277" s="56"/>
      <c r="AT277" s="56"/>
      <c r="AU277" s="56"/>
      <c r="AV277" s="56"/>
      <c r="AW277" s="56"/>
      <c r="AX277" s="56"/>
      <c r="AY277" s="208"/>
      <c r="AZ277" s="211"/>
    </row>
    <row r="278" ht="18" customHeight="1" hidden="1">
      <c r="A278" s="207"/>
      <c r="B278" s="208"/>
      <c r="C278" s="56"/>
      <c r="D278" s="56"/>
      <c r="E278" s="56"/>
      <c r="F278" s="56"/>
      <c r="G278" s="56"/>
      <c r="H278" s="56"/>
      <c r="I278" s="56"/>
      <c r="J278" s="56"/>
      <c r="K278" s="56"/>
      <c r="L278" s="256"/>
      <c r="M278" s="256"/>
      <c r="N278" s="256"/>
      <c r="O278" s="256"/>
      <c r="P278" s="256"/>
      <c r="Q278" s="256"/>
      <c r="R278" s="256"/>
      <c r="S278" s="208"/>
      <c r="T278" s="256"/>
      <c r="U278" s="256"/>
      <c r="V278" s="256"/>
      <c r="W278" s="256"/>
      <c r="X278" s="237"/>
      <c r="Y278" s="256"/>
      <c r="Z278" s="256"/>
      <c r="AA278" s="256"/>
      <c r="AB278" s="256"/>
      <c r="AC278" s="256"/>
      <c r="AD278" s="256"/>
      <c r="AE278" s="256"/>
      <c r="AF278" s="256"/>
      <c r="AG278" s="256"/>
      <c r="AH278" s="256"/>
      <c r="AI278" s="256"/>
      <c r="AJ278" s="256"/>
      <c r="AK278" s="237"/>
      <c r="AL278" s="56"/>
      <c r="AM278" s="56"/>
      <c r="AN278" s="56"/>
      <c r="AO278" s="56"/>
      <c r="AP278" s="56"/>
      <c r="AQ278" s="56"/>
      <c r="AR278" s="56"/>
      <c r="AS278" s="56"/>
      <c r="AT278" s="56"/>
      <c r="AU278" s="56"/>
      <c r="AV278" s="56"/>
      <c r="AW278" s="56"/>
      <c r="AX278" s="56"/>
      <c r="AY278" s="208"/>
      <c r="AZ278" s="211"/>
    </row>
    <row r="279" ht="18" customHeight="1" hidden="1">
      <c r="A279" s="207"/>
      <c r="B279" s="208"/>
      <c r="C279" s="56"/>
      <c r="D279" s="56"/>
      <c r="E279" s="56"/>
      <c r="F279" s="56"/>
      <c r="G279" s="56"/>
      <c r="H279" s="56"/>
      <c r="I279" s="56"/>
      <c r="J279" s="56"/>
      <c r="K279" s="56"/>
      <c r="L279" s="256"/>
      <c r="M279" s="256"/>
      <c r="N279" s="256"/>
      <c r="O279" s="256"/>
      <c r="P279" s="256"/>
      <c r="Q279" s="256"/>
      <c r="R279" s="256"/>
      <c r="S279" s="208"/>
      <c r="T279" s="256"/>
      <c r="U279" s="256"/>
      <c r="V279" s="256"/>
      <c r="W279" s="256"/>
      <c r="X279" s="237"/>
      <c r="Y279" s="256"/>
      <c r="Z279" s="256"/>
      <c r="AA279" s="256"/>
      <c r="AB279" s="256"/>
      <c r="AC279" s="256"/>
      <c r="AD279" s="256"/>
      <c r="AE279" s="256"/>
      <c r="AF279" s="256"/>
      <c r="AG279" s="256"/>
      <c r="AH279" s="256"/>
      <c r="AI279" s="256"/>
      <c r="AJ279" s="256"/>
      <c r="AK279" s="237"/>
      <c r="AL279" s="56"/>
      <c r="AM279" s="56"/>
      <c r="AN279" s="56"/>
      <c r="AO279" s="56"/>
      <c r="AP279" s="56"/>
      <c r="AQ279" s="56"/>
      <c r="AR279" s="56"/>
      <c r="AS279" s="56"/>
      <c r="AT279" s="56"/>
      <c r="AU279" s="56"/>
      <c r="AV279" s="56"/>
      <c r="AW279" s="56"/>
      <c r="AX279" s="56"/>
      <c r="AY279" s="208"/>
      <c r="AZ279" s="211"/>
    </row>
    <row r="280" ht="18" customHeight="1" hidden="1">
      <c r="A280" s="207"/>
      <c r="B280" s="208"/>
      <c r="C280" s="56"/>
      <c r="D280" s="56"/>
      <c r="E280" s="56"/>
      <c r="F280" s="56"/>
      <c r="G280" s="56"/>
      <c r="H280" s="56"/>
      <c r="I280" s="56"/>
      <c r="J280" s="56"/>
      <c r="K280" s="56"/>
      <c r="L280" s="256"/>
      <c r="M280" s="256"/>
      <c r="N280" s="256"/>
      <c r="O280" s="256"/>
      <c r="P280" s="256"/>
      <c r="Q280" s="256"/>
      <c r="R280" s="256"/>
      <c r="S280" s="208"/>
      <c r="T280" s="256"/>
      <c r="U280" s="256"/>
      <c r="V280" s="256"/>
      <c r="W280" s="256"/>
      <c r="X280" s="237"/>
      <c r="Y280" s="256"/>
      <c r="Z280" s="256"/>
      <c r="AA280" s="256"/>
      <c r="AB280" s="256"/>
      <c r="AC280" s="256"/>
      <c r="AD280" s="256"/>
      <c r="AE280" s="256"/>
      <c r="AF280" s="256"/>
      <c r="AG280" s="256"/>
      <c r="AH280" s="256"/>
      <c r="AI280" s="256"/>
      <c r="AJ280" s="256"/>
      <c r="AK280" s="237"/>
      <c r="AL280" s="56"/>
      <c r="AM280" s="56"/>
      <c r="AN280" s="56"/>
      <c r="AO280" s="56"/>
      <c r="AP280" s="56"/>
      <c r="AQ280" s="56"/>
      <c r="AR280" s="56"/>
      <c r="AS280" s="56"/>
      <c r="AT280" s="56"/>
      <c r="AU280" s="56"/>
      <c r="AV280" s="56"/>
      <c r="AW280" s="56"/>
      <c r="AX280" s="56"/>
      <c r="AY280" s="208"/>
      <c r="AZ280" s="211"/>
    </row>
    <row r="281" ht="18" customHeight="1" hidden="1">
      <c r="A281" s="207"/>
      <c r="B281" s="208"/>
      <c r="C281" s="56"/>
      <c r="D281" s="56"/>
      <c r="E281" s="56"/>
      <c r="F281" s="56"/>
      <c r="G281" s="56"/>
      <c r="H281" s="56"/>
      <c r="I281" s="56"/>
      <c r="J281" s="56"/>
      <c r="K281" s="56"/>
      <c r="L281" s="256"/>
      <c r="M281" s="256"/>
      <c r="N281" s="256"/>
      <c r="O281" s="256"/>
      <c r="P281" s="256"/>
      <c r="Q281" s="256"/>
      <c r="R281" s="256"/>
      <c r="S281" s="208"/>
      <c r="T281" s="256"/>
      <c r="U281" s="256"/>
      <c r="V281" s="256"/>
      <c r="W281" s="256"/>
      <c r="X281" s="237"/>
      <c r="Y281" s="256"/>
      <c r="Z281" s="256"/>
      <c r="AA281" s="256"/>
      <c r="AB281" s="256"/>
      <c r="AC281" s="256"/>
      <c r="AD281" s="256"/>
      <c r="AE281" s="256"/>
      <c r="AF281" s="256"/>
      <c r="AG281" s="256"/>
      <c r="AH281" s="256"/>
      <c r="AI281" s="256"/>
      <c r="AJ281" s="256"/>
      <c r="AK281" s="237"/>
      <c r="AL281" s="56"/>
      <c r="AM281" s="56"/>
      <c r="AN281" s="56"/>
      <c r="AO281" s="56"/>
      <c r="AP281" s="56"/>
      <c r="AQ281" s="56"/>
      <c r="AR281" s="56"/>
      <c r="AS281" s="56"/>
      <c r="AT281" s="56"/>
      <c r="AU281" s="56"/>
      <c r="AV281" s="56"/>
      <c r="AW281" s="56"/>
      <c r="AX281" s="56"/>
      <c r="AY281" s="208"/>
      <c r="AZ281" s="211"/>
    </row>
    <row r="282" ht="18" customHeight="1" hidden="1">
      <c r="A282" s="207"/>
      <c r="B282" s="208"/>
      <c r="C282" s="56"/>
      <c r="D282" s="56"/>
      <c r="E282" s="56"/>
      <c r="F282" s="56"/>
      <c r="G282" s="56"/>
      <c r="H282" s="56"/>
      <c r="I282" s="56"/>
      <c r="J282" s="56"/>
      <c r="K282" s="56"/>
      <c r="L282" s="256"/>
      <c r="M282" s="256"/>
      <c r="N282" s="256"/>
      <c r="O282" s="256"/>
      <c r="P282" s="256"/>
      <c r="Q282" s="256"/>
      <c r="R282" s="256"/>
      <c r="S282" s="208"/>
      <c r="T282" s="256"/>
      <c r="U282" s="256"/>
      <c r="V282" s="256"/>
      <c r="W282" s="256"/>
      <c r="X282" s="237"/>
      <c r="Y282" s="256"/>
      <c r="Z282" s="256"/>
      <c r="AA282" s="256"/>
      <c r="AB282" s="256"/>
      <c r="AC282" s="256"/>
      <c r="AD282" s="256"/>
      <c r="AE282" s="256"/>
      <c r="AF282" s="256"/>
      <c r="AG282" s="256"/>
      <c r="AH282" s="256"/>
      <c r="AI282" s="256"/>
      <c r="AJ282" s="256"/>
      <c r="AK282" s="237"/>
      <c r="AL282" s="56"/>
      <c r="AM282" s="56"/>
      <c r="AN282" s="56"/>
      <c r="AO282" s="56"/>
      <c r="AP282" s="56"/>
      <c r="AQ282" s="56"/>
      <c r="AR282" s="56"/>
      <c r="AS282" s="56"/>
      <c r="AT282" s="56"/>
      <c r="AU282" s="56"/>
      <c r="AV282" s="56"/>
      <c r="AW282" s="56"/>
      <c r="AX282" s="56"/>
      <c r="AY282" s="208"/>
      <c r="AZ282" s="211"/>
    </row>
    <row r="283" ht="18" customHeight="1" hidden="1">
      <c r="A283" s="207"/>
      <c r="B283" s="208"/>
      <c r="C283" s="56"/>
      <c r="D283" s="56"/>
      <c r="E283" s="56"/>
      <c r="F283" s="56"/>
      <c r="G283" s="56"/>
      <c r="H283" s="56"/>
      <c r="I283" s="56"/>
      <c r="J283" s="56"/>
      <c r="K283" s="56"/>
      <c r="L283" s="256"/>
      <c r="M283" s="256"/>
      <c r="N283" s="256"/>
      <c r="O283" s="256"/>
      <c r="P283" s="256"/>
      <c r="Q283" s="256"/>
      <c r="R283" s="256"/>
      <c r="S283" s="208"/>
      <c r="T283" s="256"/>
      <c r="U283" s="256"/>
      <c r="V283" s="256"/>
      <c r="W283" s="256"/>
      <c r="X283" s="237"/>
      <c r="Y283" s="256"/>
      <c r="Z283" s="256"/>
      <c r="AA283" s="256"/>
      <c r="AB283" s="256"/>
      <c r="AC283" s="256"/>
      <c r="AD283" s="256"/>
      <c r="AE283" s="256"/>
      <c r="AF283" s="256"/>
      <c r="AG283" s="256"/>
      <c r="AH283" s="256"/>
      <c r="AI283" s="256"/>
      <c r="AJ283" s="256"/>
      <c r="AK283" s="237"/>
      <c r="AL283" s="56"/>
      <c r="AM283" s="56"/>
      <c r="AN283" s="56"/>
      <c r="AO283" s="56"/>
      <c r="AP283" s="56"/>
      <c r="AQ283" s="56"/>
      <c r="AR283" s="56"/>
      <c r="AS283" s="56"/>
      <c r="AT283" s="56"/>
      <c r="AU283" s="56"/>
      <c r="AV283" s="56"/>
      <c r="AW283" s="56"/>
      <c r="AX283" s="56"/>
      <c r="AY283" s="208"/>
      <c r="AZ283" s="211"/>
    </row>
    <row r="284" ht="18" customHeight="1" hidden="1">
      <c r="A284" s="207"/>
      <c r="B284" s="208"/>
      <c r="C284" s="56"/>
      <c r="D284" s="56"/>
      <c r="E284" s="56"/>
      <c r="F284" s="56"/>
      <c r="G284" s="56"/>
      <c r="H284" s="56"/>
      <c r="I284" s="56"/>
      <c r="J284" s="56"/>
      <c r="K284" s="56"/>
      <c r="L284" s="256"/>
      <c r="M284" s="256"/>
      <c r="N284" s="256"/>
      <c r="O284" s="256"/>
      <c r="P284" s="256"/>
      <c r="Q284" s="256"/>
      <c r="R284" s="256"/>
      <c r="S284" s="208"/>
      <c r="T284" s="256"/>
      <c r="U284" s="256"/>
      <c r="V284" s="256"/>
      <c r="W284" s="256"/>
      <c r="X284" s="237"/>
      <c r="Y284" s="256"/>
      <c r="Z284" s="256"/>
      <c r="AA284" s="256"/>
      <c r="AB284" s="256"/>
      <c r="AC284" s="256"/>
      <c r="AD284" s="256"/>
      <c r="AE284" s="256"/>
      <c r="AF284" s="256"/>
      <c r="AG284" s="256"/>
      <c r="AH284" s="256"/>
      <c r="AI284" s="256"/>
      <c r="AJ284" s="256"/>
      <c r="AK284" s="237"/>
      <c r="AL284" s="56"/>
      <c r="AM284" s="56"/>
      <c r="AN284" s="56"/>
      <c r="AO284" s="56"/>
      <c r="AP284" s="56"/>
      <c r="AQ284" s="56"/>
      <c r="AR284" s="56"/>
      <c r="AS284" s="56"/>
      <c r="AT284" s="56"/>
      <c r="AU284" s="56"/>
      <c r="AV284" s="56"/>
      <c r="AW284" s="56"/>
      <c r="AX284" s="56"/>
      <c r="AY284" s="208"/>
      <c r="AZ284" s="211"/>
    </row>
    <row r="285" ht="18" customHeight="1" hidden="1">
      <c r="A285" s="207"/>
      <c r="B285" s="208"/>
      <c r="C285" s="56"/>
      <c r="D285" s="56"/>
      <c r="E285" s="56"/>
      <c r="F285" s="56"/>
      <c r="G285" s="56"/>
      <c r="H285" s="56"/>
      <c r="I285" s="56"/>
      <c r="J285" s="56"/>
      <c r="K285" s="56"/>
      <c r="L285" s="256"/>
      <c r="M285" s="256"/>
      <c r="N285" s="256"/>
      <c r="O285" s="256"/>
      <c r="P285" s="256"/>
      <c r="Q285" s="256"/>
      <c r="R285" s="256"/>
      <c r="S285" s="208"/>
      <c r="T285" s="256"/>
      <c r="U285" s="256"/>
      <c r="V285" s="256"/>
      <c r="W285" s="256"/>
      <c r="X285" s="237"/>
      <c r="Y285" s="256"/>
      <c r="Z285" s="256"/>
      <c r="AA285" s="256"/>
      <c r="AB285" s="256"/>
      <c r="AC285" s="256"/>
      <c r="AD285" s="256"/>
      <c r="AE285" s="256"/>
      <c r="AF285" s="256"/>
      <c r="AG285" s="256"/>
      <c r="AH285" s="256"/>
      <c r="AI285" s="256"/>
      <c r="AJ285" s="256"/>
      <c r="AK285" s="237"/>
      <c r="AL285" s="56"/>
      <c r="AM285" s="56"/>
      <c r="AN285" s="56"/>
      <c r="AO285" s="56"/>
      <c r="AP285" s="56"/>
      <c r="AQ285" s="56"/>
      <c r="AR285" s="56"/>
      <c r="AS285" s="56"/>
      <c r="AT285" s="56"/>
      <c r="AU285" s="56"/>
      <c r="AV285" s="56"/>
      <c r="AW285" s="56"/>
      <c r="AX285" s="56"/>
      <c r="AY285" s="208"/>
      <c r="AZ285" s="211"/>
    </row>
    <row r="286" ht="18" customHeight="1" hidden="1">
      <c r="A286" s="207"/>
      <c r="B286" s="208"/>
      <c r="C286" s="56"/>
      <c r="D286" s="56"/>
      <c r="E286" s="56"/>
      <c r="F286" s="56"/>
      <c r="G286" s="56"/>
      <c r="H286" s="56"/>
      <c r="I286" s="56"/>
      <c r="J286" s="56"/>
      <c r="K286" s="56"/>
      <c r="L286" s="256"/>
      <c r="M286" s="256"/>
      <c r="N286" s="256"/>
      <c r="O286" s="256"/>
      <c r="P286" s="256"/>
      <c r="Q286" s="256"/>
      <c r="R286" s="256"/>
      <c r="S286" s="208"/>
      <c r="T286" s="256"/>
      <c r="U286" s="256"/>
      <c r="V286" s="256"/>
      <c r="W286" s="256"/>
      <c r="X286" s="237"/>
      <c r="Y286" s="256"/>
      <c r="Z286" s="256"/>
      <c r="AA286" s="256"/>
      <c r="AB286" s="256"/>
      <c r="AC286" s="256"/>
      <c r="AD286" s="256"/>
      <c r="AE286" s="256"/>
      <c r="AF286" s="256"/>
      <c r="AG286" s="256"/>
      <c r="AH286" s="256"/>
      <c r="AI286" s="256"/>
      <c r="AJ286" s="256"/>
      <c r="AK286" s="237"/>
      <c r="AL286" s="56"/>
      <c r="AM286" s="56"/>
      <c r="AN286" s="56"/>
      <c r="AO286" s="56"/>
      <c r="AP286" s="56"/>
      <c r="AQ286" s="56"/>
      <c r="AR286" s="56"/>
      <c r="AS286" s="56"/>
      <c r="AT286" s="56"/>
      <c r="AU286" s="56"/>
      <c r="AV286" s="56"/>
      <c r="AW286" s="56"/>
      <c r="AX286" s="56"/>
      <c r="AY286" s="208"/>
      <c r="AZ286" s="211"/>
    </row>
    <row r="287" ht="18" customHeight="1" hidden="1">
      <c r="A287" s="207"/>
      <c r="B287" s="208"/>
      <c r="C287" s="56"/>
      <c r="D287" s="56"/>
      <c r="E287" s="56"/>
      <c r="F287" s="56"/>
      <c r="G287" s="56"/>
      <c r="H287" s="56"/>
      <c r="I287" s="56"/>
      <c r="J287" s="56"/>
      <c r="K287" s="56"/>
      <c r="L287" s="256"/>
      <c r="M287" s="256"/>
      <c r="N287" s="256"/>
      <c r="O287" s="256"/>
      <c r="P287" s="256"/>
      <c r="Q287" s="256"/>
      <c r="R287" s="256"/>
      <c r="S287" s="208"/>
      <c r="T287" s="256"/>
      <c r="U287" s="256"/>
      <c r="V287" s="256"/>
      <c r="W287" s="256"/>
      <c r="X287" s="237"/>
      <c r="Y287" s="256"/>
      <c r="Z287" s="256"/>
      <c r="AA287" s="256"/>
      <c r="AB287" s="256"/>
      <c r="AC287" s="256"/>
      <c r="AD287" s="256"/>
      <c r="AE287" s="256"/>
      <c r="AF287" s="256"/>
      <c r="AG287" s="256"/>
      <c r="AH287" s="256"/>
      <c r="AI287" s="256"/>
      <c r="AJ287" s="256"/>
      <c r="AK287" s="237"/>
      <c r="AL287" s="56"/>
      <c r="AM287" s="56"/>
      <c r="AN287" s="56"/>
      <c r="AO287" s="56"/>
      <c r="AP287" s="56"/>
      <c r="AQ287" s="56"/>
      <c r="AR287" s="56"/>
      <c r="AS287" s="56"/>
      <c r="AT287" s="56"/>
      <c r="AU287" s="56"/>
      <c r="AV287" s="56"/>
      <c r="AW287" s="56"/>
      <c r="AX287" s="56"/>
      <c r="AY287" s="208"/>
      <c r="AZ287" s="211"/>
    </row>
    <row r="288" ht="18" customHeight="1" hidden="1">
      <c r="A288" s="207"/>
      <c r="B288" s="208"/>
      <c r="C288" s="56"/>
      <c r="D288" s="56"/>
      <c r="E288" s="56"/>
      <c r="F288" s="56"/>
      <c r="G288" s="56"/>
      <c r="H288" s="56"/>
      <c r="I288" s="56"/>
      <c r="J288" s="56"/>
      <c r="K288" s="56"/>
      <c r="L288" s="256"/>
      <c r="M288" s="256"/>
      <c r="N288" s="256"/>
      <c r="O288" s="256"/>
      <c r="P288" s="256"/>
      <c r="Q288" s="256"/>
      <c r="R288" s="256"/>
      <c r="S288" s="208"/>
      <c r="T288" s="256"/>
      <c r="U288" s="256"/>
      <c r="V288" s="256"/>
      <c r="W288" s="256"/>
      <c r="X288" s="237"/>
      <c r="Y288" s="256"/>
      <c r="Z288" s="256"/>
      <c r="AA288" s="256"/>
      <c r="AB288" s="256"/>
      <c r="AC288" s="256"/>
      <c r="AD288" s="256"/>
      <c r="AE288" s="256"/>
      <c r="AF288" s="256"/>
      <c r="AG288" s="256"/>
      <c r="AH288" s="256"/>
      <c r="AI288" s="256"/>
      <c r="AJ288" s="256"/>
      <c r="AK288" s="237"/>
      <c r="AL288" s="56"/>
      <c r="AM288" s="56"/>
      <c r="AN288" s="56"/>
      <c r="AO288" s="56"/>
      <c r="AP288" s="56"/>
      <c r="AQ288" s="56"/>
      <c r="AR288" s="56"/>
      <c r="AS288" s="56"/>
      <c r="AT288" s="56"/>
      <c r="AU288" s="56"/>
      <c r="AV288" s="56"/>
      <c r="AW288" s="56"/>
      <c r="AX288" s="56"/>
      <c r="AY288" s="208"/>
      <c r="AZ288" s="211"/>
    </row>
    <row r="289" ht="18" customHeight="1" hidden="1">
      <c r="A289" s="207"/>
      <c r="B289" s="208"/>
      <c r="C289" s="56"/>
      <c r="D289" s="56"/>
      <c r="E289" s="56"/>
      <c r="F289" s="56"/>
      <c r="G289" s="56"/>
      <c r="H289" s="56"/>
      <c r="I289" s="56"/>
      <c r="J289" s="56"/>
      <c r="K289" s="56"/>
      <c r="L289" s="256"/>
      <c r="M289" s="256"/>
      <c r="N289" s="256"/>
      <c r="O289" s="256"/>
      <c r="P289" s="256"/>
      <c r="Q289" s="256"/>
      <c r="R289" s="256"/>
      <c r="S289" s="208"/>
      <c r="T289" s="256"/>
      <c r="U289" s="256"/>
      <c r="V289" s="256"/>
      <c r="W289" s="256"/>
      <c r="X289" s="237"/>
      <c r="Y289" s="256"/>
      <c r="Z289" s="256"/>
      <c r="AA289" s="256"/>
      <c r="AB289" s="256"/>
      <c r="AC289" s="256"/>
      <c r="AD289" s="256"/>
      <c r="AE289" s="256"/>
      <c r="AF289" s="256"/>
      <c r="AG289" s="256"/>
      <c r="AH289" s="256"/>
      <c r="AI289" s="256"/>
      <c r="AJ289" s="256"/>
      <c r="AK289" s="237"/>
      <c r="AL289" s="56"/>
      <c r="AM289" s="56"/>
      <c r="AN289" s="56"/>
      <c r="AO289" s="56"/>
      <c r="AP289" s="56"/>
      <c r="AQ289" s="56"/>
      <c r="AR289" s="56"/>
      <c r="AS289" s="56"/>
      <c r="AT289" s="56"/>
      <c r="AU289" s="56"/>
      <c r="AV289" s="56"/>
      <c r="AW289" s="56"/>
      <c r="AX289" s="56"/>
      <c r="AY289" s="208"/>
      <c r="AZ289" s="211"/>
    </row>
    <row r="290" ht="18" customHeight="1" hidden="1">
      <c r="A290" s="207"/>
      <c r="B290" s="208"/>
      <c r="C290" s="56"/>
      <c r="D290" s="56"/>
      <c r="E290" s="56"/>
      <c r="F290" s="56"/>
      <c r="G290" s="56"/>
      <c r="H290" s="56"/>
      <c r="I290" s="56"/>
      <c r="J290" s="56"/>
      <c r="K290" s="56"/>
      <c r="L290" s="256"/>
      <c r="M290" s="256"/>
      <c r="N290" s="256"/>
      <c r="O290" s="256"/>
      <c r="P290" s="256"/>
      <c r="Q290" s="256"/>
      <c r="R290" s="256"/>
      <c r="S290" s="208"/>
      <c r="T290" s="256"/>
      <c r="U290" s="256"/>
      <c r="V290" s="256"/>
      <c r="W290" s="256"/>
      <c r="X290" s="237"/>
      <c r="Y290" s="256"/>
      <c r="Z290" s="256"/>
      <c r="AA290" s="256"/>
      <c r="AB290" s="256"/>
      <c r="AC290" s="256"/>
      <c r="AD290" s="256"/>
      <c r="AE290" s="256"/>
      <c r="AF290" s="256"/>
      <c r="AG290" s="256"/>
      <c r="AH290" s="256"/>
      <c r="AI290" s="256"/>
      <c r="AJ290" s="256"/>
      <c r="AK290" s="237"/>
      <c r="AL290" s="56"/>
      <c r="AM290" s="56"/>
      <c r="AN290" s="56"/>
      <c r="AO290" s="56"/>
      <c r="AP290" s="56"/>
      <c r="AQ290" s="56"/>
      <c r="AR290" s="56"/>
      <c r="AS290" s="56"/>
      <c r="AT290" s="56"/>
      <c r="AU290" s="56"/>
      <c r="AV290" s="56"/>
      <c r="AW290" s="56"/>
      <c r="AX290" s="56"/>
      <c r="AY290" s="208"/>
      <c r="AZ290" s="211"/>
    </row>
    <row r="291" ht="18" customHeight="1" hidden="1">
      <c r="A291" s="207"/>
      <c r="B291" s="208"/>
      <c r="C291" s="56"/>
      <c r="D291" s="56"/>
      <c r="E291" s="56"/>
      <c r="F291" s="56"/>
      <c r="G291" s="56"/>
      <c r="H291" s="56"/>
      <c r="I291" s="56"/>
      <c r="J291" s="56"/>
      <c r="K291" s="56"/>
      <c r="L291" s="256"/>
      <c r="M291" s="256"/>
      <c r="N291" s="256"/>
      <c r="O291" s="256"/>
      <c r="P291" s="256"/>
      <c r="Q291" s="256"/>
      <c r="R291" s="256"/>
      <c r="S291" s="208"/>
      <c r="T291" s="256"/>
      <c r="U291" s="256"/>
      <c r="V291" s="256"/>
      <c r="W291" s="256"/>
      <c r="X291" s="237"/>
      <c r="Y291" s="256"/>
      <c r="Z291" s="256"/>
      <c r="AA291" s="256"/>
      <c r="AB291" s="256"/>
      <c r="AC291" s="256"/>
      <c r="AD291" s="256"/>
      <c r="AE291" s="256"/>
      <c r="AF291" s="256"/>
      <c r="AG291" s="256"/>
      <c r="AH291" s="256"/>
      <c r="AI291" s="256"/>
      <c r="AJ291" s="256"/>
      <c r="AK291" s="237"/>
      <c r="AL291" s="56"/>
      <c r="AM291" s="56"/>
      <c r="AN291" s="56"/>
      <c r="AO291" s="56"/>
      <c r="AP291" s="56"/>
      <c r="AQ291" s="56"/>
      <c r="AR291" s="56"/>
      <c r="AS291" s="56"/>
      <c r="AT291" s="56"/>
      <c r="AU291" s="56"/>
      <c r="AV291" s="56"/>
      <c r="AW291" s="56"/>
      <c r="AX291" s="56"/>
      <c r="AY291" s="208"/>
      <c r="AZ291" s="211"/>
    </row>
    <row r="292" ht="18" customHeight="1" hidden="1">
      <c r="A292" s="207"/>
      <c r="B292" s="208"/>
      <c r="C292" s="56"/>
      <c r="D292" s="56"/>
      <c r="E292" s="56"/>
      <c r="F292" s="56"/>
      <c r="G292" s="56"/>
      <c r="H292" s="56"/>
      <c r="I292" s="56"/>
      <c r="J292" s="56"/>
      <c r="K292" s="56"/>
      <c r="L292" s="256"/>
      <c r="M292" s="256"/>
      <c r="N292" s="256"/>
      <c r="O292" s="256"/>
      <c r="P292" s="256"/>
      <c r="Q292" s="256"/>
      <c r="R292" s="256"/>
      <c r="S292" s="208"/>
      <c r="T292" s="256"/>
      <c r="U292" s="256"/>
      <c r="V292" s="256"/>
      <c r="W292" s="256"/>
      <c r="X292" s="237"/>
      <c r="Y292" s="256"/>
      <c r="Z292" s="256"/>
      <c r="AA292" s="256"/>
      <c r="AB292" s="256"/>
      <c r="AC292" s="256"/>
      <c r="AD292" s="256"/>
      <c r="AE292" s="256"/>
      <c r="AF292" s="256"/>
      <c r="AG292" s="256"/>
      <c r="AH292" s="256"/>
      <c r="AI292" s="256"/>
      <c r="AJ292" s="256"/>
      <c r="AK292" s="237"/>
      <c r="AL292" s="56"/>
      <c r="AM292" s="56"/>
      <c r="AN292" s="56"/>
      <c r="AO292" s="56"/>
      <c r="AP292" s="56"/>
      <c r="AQ292" s="56"/>
      <c r="AR292" s="56"/>
      <c r="AS292" s="56"/>
      <c r="AT292" s="56"/>
      <c r="AU292" s="56"/>
      <c r="AV292" s="56"/>
      <c r="AW292" s="56"/>
      <c r="AX292" s="56"/>
      <c r="AY292" s="208"/>
      <c r="AZ292" s="211"/>
    </row>
    <row r="293" ht="18" customHeight="1" hidden="1">
      <c r="A293" s="207"/>
      <c r="B293" s="208"/>
      <c r="C293" s="56"/>
      <c r="D293" s="56"/>
      <c r="E293" s="56"/>
      <c r="F293" s="56"/>
      <c r="G293" s="56"/>
      <c r="H293" s="56"/>
      <c r="I293" s="56"/>
      <c r="J293" s="56"/>
      <c r="K293" s="56"/>
      <c r="L293" s="256"/>
      <c r="M293" s="256"/>
      <c r="N293" s="256"/>
      <c r="O293" s="256"/>
      <c r="P293" s="256"/>
      <c r="Q293" s="256"/>
      <c r="R293" s="256"/>
      <c r="S293" s="208"/>
      <c r="T293" s="256"/>
      <c r="U293" s="256"/>
      <c r="V293" s="256"/>
      <c r="W293" s="256"/>
      <c r="X293" s="237"/>
      <c r="Y293" s="256"/>
      <c r="Z293" s="256"/>
      <c r="AA293" s="256"/>
      <c r="AB293" s="256"/>
      <c r="AC293" s="256"/>
      <c r="AD293" s="256"/>
      <c r="AE293" s="256"/>
      <c r="AF293" s="256"/>
      <c r="AG293" s="256"/>
      <c r="AH293" s="256"/>
      <c r="AI293" s="256"/>
      <c r="AJ293" s="256"/>
      <c r="AK293" s="237"/>
      <c r="AL293" s="56"/>
      <c r="AM293" s="56"/>
      <c r="AN293" s="56"/>
      <c r="AO293" s="56"/>
      <c r="AP293" s="56"/>
      <c r="AQ293" s="56"/>
      <c r="AR293" s="56"/>
      <c r="AS293" s="56"/>
      <c r="AT293" s="56"/>
      <c r="AU293" s="56"/>
      <c r="AV293" s="56"/>
      <c r="AW293" s="56"/>
      <c r="AX293" s="56"/>
      <c r="AY293" s="208"/>
      <c r="AZ293" s="211"/>
    </row>
    <row r="294" ht="18" customHeight="1" hidden="1">
      <c r="A294" s="207"/>
      <c r="B294" s="208"/>
      <c r="C294" s="56"/>
      <c r="D294" s="56"/>
      <c r="E294" s="56"/>
      <c r="F294" s="56"/>
      <c r="G294" s="56"/>
      <c r="H294" s="56"/>
      <c r="I294" s="56"/>
      <c r="J294" s="56"/>
      <c r="K294" s="56"/>
      <c r="L294" s="256"/>
      <c r="M294" s="256"/>
      <c r="N294" s="256"/>
      <c r="O294" s="256"/>
      <c r="P294" s="256"/>
      <c r="Q294" s="256"/>
      <c r="R294" s="256"/>
      <c r="S294" s="208"/>
      <c r="T294" s="256"/>
      <c r="U294" s="256"/>
      <c r="V294" s="256"/>
      <c r="W294" s="256"/>
      <c r="X294" s="237"/>
      <c r="Y294" s="256"/>
      <c r="Z294" s="256"/>
      <c r="AA294" s="256"/>
      <c r="AB294" s="256"/>
      <c r="AC294" s="256"/>
      <c r="AD294" s="256"/>
      <c r="AE294" s="256"/>
      <c r="AF294" s="256"/>
      <c r="AG294" s="256"/>
      <c r="AH294" s="256"/>
      <c r="AI294" s="256"/>
      <c r="AJ294" s="256"/>
      <c r="AK294" s="237"/>
      <c r="AL294" s="56"/>
      <c r="AM294" s="56"/>
      <c r="AN294" s="56"/>
      <c r="AO294" s="56"/>
      <c r="AP294" s="56"/>
      <c r="AQ294" s="56"/>
      <c r="AR294" s="56"/>
      <c r="AS294" s="56"/>
      <c r="AT294" s="56"/>
      <c r="AU294" s="56"/>
      <c r="AV294" s="56"/>
      <c r="AW294" s="56"/>
      <c r="AX294" s="56"/>
      <c r="AY294" s="208"/>
      <c r="AZ294" s="211"/>
    </row>
    <row r="295" ht="18" customHeight="1" hidden="1">
      <c r="A295" s="207"/>
      <c r="B295" s="208"/>
      <c r="C295" s="56"/>
      <c r="D295" s="56"/>
      <c r="E295" s="56"/>
      <c r="F295" s="56"/>
      <c r="G295" s="56"/>
      <c r="H295" s="56"/>
      <c r="I295" s="56"/>
      <c r="J295" s="56"/>
      <c r="K295" s="56"/>
      <c r="L295" s="256"/>
      <c r="M295" s="256"/>
      <c r="N295" s="256"/>
      <c r="O295" s="256"/>
      <c r="P295" s="256"/>
      <c r="Q295" s="256"/>
      <c r="R295" s="256"/>
      <c r="S295" s="208"/>
      <c r="T295" s="256"/>
      <c r="U295" s="256"/>
      <c r="V295" s="256"/>
      <c r="W295" s="256"/>
      <c r="X295" s="237"/>
      <c r="Y295" s="256"/>
      <c r="Z295" s="256"/>
      <c r="AA295" s="256"/>
      <c r="AB295" s="256"/>
      <c r="AC295" s="256"/>
      <c r="AD295" s="256"/>
      <c r="AE295" s="256"/>
      <c r="AF295" s="256"/>
      <c r="AG295" s="256"/>
      <c r="AH295" s="256"/>
      <c r="AI295" s="256"/>
      <c r="AJ295" s="256"/>
      <c r="AK295" s="237"/>
      <c r="AL295" s="56"/>
      <c r="AM295" s="56"/>
      <c r="AN295" s="56"/>
      <c r="AO295" s="56"/>
      <c r="AP295" s="56"/>
      <c r="AQ295" s="56"/>
      <c r="AR295" s="56"/>
      <c r="AS295" s="56"/>
      <c r="AT295" s="56"/>
      <c r="AU295" s="56"/>
      <c r="AV295" s="56"/>
      <c r="AW295" s="56"/>
      <c r="AX295" s="56"/>
      <c r="AY295" s="208"/>
      <c r="AZ295" s="211"/>
    </row>
    <row r="296" ht="18" customHeight="1" hidden="1">
      <c r="A296" s="207"/>
      <c r="B296" s="208"/>
      <c r="C296" s="56"/>
      <c r="D296" s="56"/>
      <c r="E296" s="56"/>
      <c r="F296" s="56"/>
      <c r="G296" s="56"/>
      <c r="H296" s="56"/>
      <c r="I296" s="56"/>
      <c r="J296" s="56"/>
      <c r="K296" s="56"/>
      <c r="L296" s="256"/>
      <c r="M296" s="256"/>
      <c r="N296" s="256"/>
      <c r="O296" s="256"/>
      <c r="P296" s="256"/>
      <c r="Q296" s="256"/>
      <c r="R296" s="256"/>
      <c r="S296" s="208"/>
      <c r="T296" s="256"/>
      <c r="U296" s="256"/>
      <c r="V296" s="256"/>
      <c r="W296" s="256"/>
      <c r="X296" s="237"/>
      <c r="Y296" s="256"/>
      <c r="Z296" s="256"/>
      <c r="AA296" s="256"/>
      <c r="AB296" s="256"/>
      <c r="AC296" s="256"/>
      <c r="AD296" s="256"/>
      <c r="AE296" s="256"/>
      <c r="AF296" s="256"/>
      <c r="AG296" s="256"/>
      <c r="AH296" s="256"/>
      <c r="AI296" s="256"/>
      <c r="AJ296" s="256"/>
      <c r="AK296" s="237"/>
      <c r="AL296" s="56"/>
      <c r="AM296" s="56"/>
      <c r="AN296" s="56"/>
      <c r="AO296" s="56"/>
      <c r="AP296" s="56"/>
      <c r="AQ296" s="56"/>
      <c r="AR296" s="56"/>
      <c r="AS296" s="56"/>
      <c r="AT296" s="56"/>
      <c r="AU296" s="56"/>
      <c r="AV296" s="56"/>
      <c r="AW296" s="56"/>
      <c r="AX296" s="56"/>
      <c r="AY296" s="208"/>
      <c r="AZ296" s="211"/>
    </row>
    <row r="297" ht="18" customHeight="1" hidden="1">
      <c r="A297" s="207"/>
      <c r="B297" s="208"/>
      <c r="C297" s="56"/>
      <c r="D297" s="56"/>
      <c r="E297" s="56"/>
      <c r="F297" s="56"/>
      <c r="G297" s="56"/>
      <c r="H297" s="56"/>
      <c r="I297" s="56"/>
      <c r="J297" s="56"/>
      <c r="K297" s="56"/>
      <c r="L297" s="256"/>
      <c r="M297" s="256"/>
      <c r="N297" s="256"/>
      <c r="O297" s="256"/>
      <c r="P297" s="256"/>
      <c r="Q297" s="256"/>
      <c r="R297" s="256"/>
      <c r="S297" s="208"/>
      <c r="T297" s="256"/>
      <c r="U297" s="256"/>
      <c r="V297" s="256"/>
      <c r="W297" s="256"/>
      <c r="X297" s="237"/>
      <c r="Y297" s="256"/>
      <c r="Z297" s="256"/>
      <c r="AA297" s="256"/>
      <c r="AB297" s="256"/>
      <c r="AC297" s="256"/>
      <c r="AD297" s="256"/>
      <c r="AE297" s="256"/>
      <c r="AF297" s="256"/>
      <c r="AG297" s="256"/>
      <c r="AH297" s="256"/>
      <c r="AI297" s="256"/>
      <c r="AJ297" s="256"/>
      <c r="AK297" s="237"/>
      <c r="AL297" s="56"/>
      <c r="AM297" s="56"/>
      <c r="AN297" s="56"/>
      <c r="AO297" s="56"/>
      <c r="AP297" s="56"/>
      <c r="AQ297" s="56"/>
      <c r="AR297" s="56"/>
      <c r="AS297" s="56"/>
      <c r="AT297" s="56"/>
      <c r="AU297" s="56"/>
      <c r="AV297" s="56"/>
      <c r="AW297" s="56"/>
      <c r="AX297" s="56"/>
      <c r="AY297" s="208"/>
      <c r="AZ297" s="211"/>
    </row>
    <row r="298" ht="18" customHeight="1" hidden="1">
      <c r="A298" s="207"/>
      <c r="B298" s="208"/>
      <c r="C298" s="56"/>
      <c r="D298" s="56"/>
      <c r="E298" s="56"/>
      <c r="F298" s="56"/>
      <c r="G298" s="56"/>
      <c r="H298" s="56"/>
      <c r="I298" s="56"/>
      <c r="J298" s="56"/>
      <c r="K298" s="56"/>
      <c r="L298" s="256"/>
      <c r="M298" s="256"/>
      <c r="N298" s="256"/>
      <c r="O298" s="256"/>
      <c r="P298" s="256"/>
      <c r="Q298" s="256"/>
      <c r="R298" s="256"/>
      <c r="S298" s="208"/>
      <c r="T298" s="256"/>
      <c r="U298" s="256"/>
      <c r="V298" s="256"/>
      <c r="W298" s="256"/>
      <c r="X298" s="237"/>
      <c r="Y298" s="256"/>
      <c r="Z298" s="256"/>
      <c r="AA298" s="256"/>
      <c r="AB298" s="256"/>
      <c r="AC298" s="256"/>
      <c r="AD298" s="256"/>
      <c r="AE298" s="256"/>
      <c r="AF298" s="256"/>
      <c r="AG298" s="256"/>
      <c r="AH298" s="256"/>
      <c r="AI298" s="256"/>
      <c r="AJ298" s="256"/>
      <c r="AK298" s="237"/>
      <c r="AL298" s="56"/>
      <c r="AM298" s="56"/>
      <c r="AN298" s="56"/>
      <c r="AO298" s="56"/>
      <c r="AP298" s="56"/>
      <c r="AQ298" s="56"/>
      <c r="AR298" s="56"/>
      <c r="AS298" s="56"/>
      <c r="AT298" s="56"/>
      <c r="AU298" s="56"/>
      <c r="AV298" s="56"/>
      <c r="AW298" s="56"/>
      <c r="AX298" s="56"/>
      <c r="AY298" s="208"/>
      <c r="AZ298" s="211"/>
    </row>
    <row r="299" ht="18" customHeight="1" hidden="1">
      <c r="A299" s="207"/>
      <c r="B299" s="208"/>
      <c r="C299" s="56"/>
      <c r="D299" s="56"/>
      <c r="E299" s="56"/>
      <c r="F299" s="56"/>
      <c r="G299" s="56"/>
      <c r="H299" s="56"/>
      <c r="I299" s="56"/>
      <c r="J299" s="56"/>
      <c r="K299" s="56"/>
      <c r="L299" s="256"/>
      <c r="M299" s="256"/>
      <c r="N299" s="256"/>
      <c r="O299" s="256"/>
      <c r="P299" s="256"/>
      <c r="Q299" s="256"/>
      <c r="R299" s="256"/>
      <c r="S299" s="208"/>
      <c r="T299" s="256"/>
      <c r="U299" s="256"/>
      <c r="V299" s="256"/>
      <c r="W299" s="256"/>
      <c r="X299" s="237"/>
      <c r="Y299" s="256"/>
      <c r="Z299" s="256"/>
      <c r="AA299" s="256"/>
      <c r="AB299" s="256"/>
      <c r="AC299" s="256"/>
      <c r="AD299" s="256"/>
      <c r="AE299" s="256"/>
      <c r="AF299" s="256"/>
      <c r="AG299" s="256"/>
      <c r="AH299" s="256"/>
      <c r="AI299" s="256"/>
      <c r="AJ299" s="256"/>
      <c r="AK299" s="237"/>
      <c r="AL299" s="56"/>
      <c r="AM299" s="56"/>
      <c r="AN299" s="56"/>
      <c r="AO299" s="56"/>
      <c r="AP299" s="56"/>
      <c r="AQ299" s="56"/>
      <c r="AR299" s="56"/>
      <c r="AS299" s="56"/>
      <c r="AT299" s="56"/>
      <c r="AU299" s="56"/>
      <c r="AV299" s="56"/>
      <c r="AW299" s="56"/>
      <c r="AX299" s="56"/>
      <c r="AY299" s="208"/>
      <c r="AZ299" s="211"/>
    </row>
    <row r="300" ht="18" customHeight="1" hidden="1">
      <c r="A300" s="207"/>
      <c r="B300" s="208"/>
      <c r="C300" s="56"/>
      <c r="D300" s="56"/>
      <c r="E300" s="56"/>
      <c r="F300" s="56"/>
      <c r="G300" s="56"/>
      <c r="H300" s="56"/>
      <c r="I300" s="56"/>
      <c r="J300" s="56"/>
      <c r="K300" s="56"/>
      <c r="L300" s="256"/>
      <c r="M300" s="256"/>
      <c r="N300" s="256"/>
      <c r="O300" s="256"/>
      <c r="P300" s="256"/>
      <c r="Q300" s="256"/>
      <c r="R300" s="256"/>
      <c r="S300" s="208"/>
      <c r="T300" s="256"/>
      <c r="U300" s="256"/>
      <c r="V300" s="256"/>
      <c r="W300" s="256"/>
      <c r="X300" s="237"/>
      <c r="Y300" s="256"/>
      <c r="Z300" s="256"/>
      <c r="AA300" s="256"/>
      <c r="AB300" s="256"/>
      <c r="AC300" s="256"/>
      <c r="AD300" s="256"/>
      <c r="AE300" s="256"/>
      <c r="AF300" s="256"/>
      <c r="AG300" s="256"/>
      <c r="AH300" s="256"/>
      <c r="AI300" s="256"/>
      <c r="AJ300" s="256"/>
      <c r="AK300" s="237"/>
      <c r="AL300" s="56"/>
      <c r="AM300" s="56"/>
      <c r="AN300" s="56"/>
      <c r="AO300" s="56"/>
      <c r="AP300" s="56"/>
      <c r="AQ300" s="56"/>
      <c r="AR300" s="56"/>
      <c r="AS300" s="56"/>
      <c r="AT300" s="56"/>
      <c r="AU300" s="56"/>
      <c r="AV300" s="56"/>
      <c r="AW300" s="56"/>
      <c r="AX300" s="56"/>
      <c r="AY300" s="208"/>
      <c r="AZ300" s="211"/>
    </row>
    <row r="301" ht="18" customHeight="1" hidden="1">
      <c r="A301" s="207"/>
      <c r="B301" s="208"/>
      <c r="C301" s="56"/>
      <c r="D301" s="56"/>
      <c r="E301" s="56"/>
      <c r="F301" s="56"/>
      <c r="G301" s="56"/>
      <c r="H301" s="56"/>
      <c r="I301" s="56"/>
      <c r="J301" s="56"/>
      <c r="K301" s="56"/>
      <c r="L301" s="256"/>
      <c r="M301" s="256"/>
      <c r="N301" s="256"/>
      <c r="O301" s="256"/>
      <c r="P301" s="256"/>
      <c r="Q301" s="256"/>
      <c r="R301" s="256"/>
      <c r="S301" s="208"/>
      <c r="T301" s="256"/>
      <c r="U301" s="256"/>
      <c r="V301" s="256"/>
      <c r="W301" s="256"/>
      <c r="X301" s="237"/>
      <c r="Y301" s="256"/>
      <c r="Z301" s="256"/>
      <c r="AA301" s="256"/>
      <c r="AB301" s="256"/>
      <c r="AC301" s="256"/>
      <c r="AD301" s="256"/>
      <c r="AE301" s="256"/>
      <c r="AF301" s="256"/>
      <c r="AG301" s="256"/>
      <c r="AH301" s="256"/>
      <c r="AI301" s="256"/>
      <c r="AJ301" s="256"/>
      <c r="AK301" s="237"/>
      <c r="AL301" s="56"/>
      <c r="AM301" s="56"/>
      <c r="AN301" s="56"/>
      <c r="AO301" s="56"/>
      <c r="AP301" s="56"/>
      <c r="AQ301" s="56"/>
      <c r="AR301" s="56"/>
      <c r="AS301" s="56"/>
      <c r="AT301" s="56"/>
      <c r="AU301" s="56"/>
      <c r="AV301" s="56"/>
      <c r="AW301" s="56"/>
      <c r="AX301" s="56"/>
      <c r="AY301" s="208"/>
      <c r="AZ301" s="211"/>
    </row>
    <row r="302" ht="18" customHeight="1" hidden="1">
      <c r="A302" s="207"/>
      <c r="B302" s="208"/>
      <c r="C302" s="56"/>
      <c r="D302" s="56"/>
      <c r="E302" s="56"/>
      <c r="F302" s="56"/>
      <c r="G302" s="56"/>
      <c r="H302" s="56"/>
      <c r="I302" s="56"/>
      <c r="J302" s="56"/>
      <c r="K302" s="56"/>
      <c r="L302" s="256"/>
      <c r="M302" s="256"/>
      <c r="N302" s="256"/>
      <c r="O302" s="256"/>
      <c r="P302" s="256"/>
      <c r="Q302" s="256"/>
      <c r="R302" s="256"/>
      <c r="S302" s="208"/>
      <c r="T302" s="256"/>
      <c r="U302" s="256"/>
      <c r="V302" s="256"/>
      <c r="W302" s="256"/>
      <c r="X302" s="237"/>
      <c r="Y302" s="256"/>
      <c r="Z302" s="256"/>
      <c r="AA302" s="256"/>
      <c r="AB302" s="256"/>
      <c r="AC302" s="256"/>
      <c r="AD302" s="256"/>
      <c r="AE302" s="256"/>
      <c r="AF302" s="256"/>
      <c r="AG302" s="256"/>
      <c r="AH302" s="256"/>
      <c r="AI302" s="256"/>
      <c r="AJ302" s="256"/>
      <c r="AK302" s="237"/>
      <c r="AL302" s="56"/>
      <c r="AM302" s="56"/>
      <c r="AN302" s="56"/>
      <c r="AO302" s="56"/>
      <c r="AP302" s="56"/>
      <c r="AQ302" s="56"/>
      <c r="AR302" s="56"/>
      <c r="AS302" s="56"/>
      <c r="AT302" s="56"/>
      <c r="AU302" s="56"/>
      <c r="AV302" s="56"/>
      <c r="AW302" s="56"/>
      <c r="AX302" s="56"/>
      <c r="AY302" s="208"/>
      <c r="AZ302" s="211"/>
    </row>
    <row r="303" ht="18" customHeight="1" hidden="1">
      <c r="A303" s="207"/>
      <c r="B303" s="208"/>
      <c r="C303" s="56"/>
      <c r="D303" s="56"/>
      <c r="E303" s="56"/>
      <c r="F303" s="56"/>
      <c r="G303" s="56"/>
      <c r="H303" s="56"/>
      <c r="I303" s="56"/>
      <c r="J303" s="56"/>
      <c r="K303" s="56"/>
      <c r="L303" s="256"/>
      <c r="M303" s="256"/>
      <c r="N303" s="256"/>
      <c r="O303" s="256"/>
      <c r="P303" s="256"/>
      <c r="Q303" s="256"/>
      <c r="R303" s="256"/>
      <c r="S303" s="208"/>
      <c r="T303" s="256"/>
      <c r="U303" s="256"/>
      <c r="V303" s="256"/>
      <c r="W303" s="256"/>
      <c r="X303" s="237"/>
      <c r="Y303" s="256"/>
      <c r="Z303" s="256"/>
      <c r="AA303" s="256"/>
      <c r="AB303" s="256"/>
      <c r="AC303" s="256"/>
      <c r="AD303" s="256"/>
      <c r="AE303" s="256"/>
      <c r="AF303" s="256"/>
      <c r="AG303" s="256"/>
      <c r="AH303" s="256"/>
      <c r="AI303" s="256"/>
      <c r="AJ303" s="256"/>
      <c r="AK303" s="237"/>
      <c r="AL303" s="56"/>
      <c r="AM303" s="56"/>
      <c r="AN303" s="56"/>
      <c r="AO303" s="56"/>
      <c r="AP303" s="56"/>
      <c r="AQ303" s="56"/>
      <c r="AR303" s="56"/>
      <c r="AS303" s="56"/>
      <c r="AT303" s="56"/>
      <c r="AU303" s="56"/>
      <c r="AV303" s="56"/>
      <c r="AW303" s="56"/>
      <c r="AX303" s="56"/>
      <c r="AY303" s="208"/>
      <c r="AZ303" s="211"/>
    </row>
    <row r="304" ht="18" customHeight="1" hidden="1">
      <c r="A304" s="207"/>
      <c r="B304" s="208"/>
      <c r="C304" s="56"/>
      <c r="D304" s="56"/>
      <c r="E304" s="56"/>
      <c r="F304" s="56"/>
      <c r="G304" s="56"/>
      <c r="H304" s="56"/>
      <c r="I304" s="56"/>
      <c r="J304" s="56"/>
      <c r="K304" s="56"/>
      <c r="L304" s="256"/>
      <c r="M304" s="256"/>
      <c r="N304" s="256"/>
      <c r="O304" s="256"/>
      <c r="P304" s="256"/>
      <c r="Q304" s="256"/>
      <c r="R304" s="256"/>
      <c r="S304" s="208"/>
      <c r="T304" s="256"/>
      <c r="U304" s="256"/>
      <c r="V304" s="256"/>
      <c r="W304" s="256"/>
      <c r="X304" s="237"/>
      <c r="Y304" s="256"/>
      <c r="Z304" s="256"/>
      <c r="AA304" s="256"/>
      <c r="AB304" s="256"/>
      <c r="AC304" s="256"/>
      <c r="AD304" s="256"/>
      <c r="AE304" s="256"/>
      <c r="AF304" s="256"/>
      <c r="AG304" s="256"/>
      <c r="AH304" s="256"/>
      <c r="AI304" s="256"/>
      <c r="AJ304" s="256"/>
      <c r="AK304" s="237"/>
      <c r="AL304" s="56"/>
      <c r="AM304" s="56"/>
      <c r="AN304" s="56"/>
      <c r="AO304" s="56"/>
      <c r="AP304" s="56"/>
      <c r="AQ304" s="56"/>
      <c r="AR304" s="56"/>
      <c r="AS304" s="56"/>
      <c r="AT304" s="56"/>
      <c r="AU304" s="56"/>
      <c r="AV304" s="56"/>
      <c r="AW304" s="56"/>
      <c r="AX304" s="56"/>
      <c r="AY304" s="208"/>
      <c r="AZ304" s="211"/>
    </row>
    <row r="305" ht="18" customHeight="1" hidden="1">
      <c r="A305" s="207"/>
      <c r="B305" s="208"/>
      <c r="C305" s="56"/>
      <c r="D305" s="56"/>
      <c r="E305" s="56"/>
      <c r="F305" s="56"/>
      <c r="G305" s="56"/>
      <c r="H305" s="56"/>
      <c r="I305" s="56"/>
      <c r="J305" s="56"/>
      <c r="K305" s="56"/>
      <c r="L305" s="256"/>
      <c r="M305" s="256"/>
      <c r="N305" s="256"/>
      <c r="O305" s="256"/>
      <c r="P305" s="256"/>
      <c r="Q305" s="256"/>
      <c r="R305" s="256"/>
      <c r="S305" s="208"/>
      <c r="T305" s="256"/>
      <c r="U305" s="256"/>
      <c r="V305" s="256"/>
      <c r="W305" s="256"/>
      <c r="X305" s="237"/>
      <c r="Y305" s="256"/>
      <c r="Z305" s="256"/>
      <c r="AA305" s="256"/>
      <c r="AB305" s="256"/>
      <c r="AC305" s="256"/>
      <c r="AD305" s="256"/>
      <c r="AE305" s="256"/>
      <c r="AF305" s="256"/>
      <c r="AG305" s="256"/>
      <c r="AH305" s="256"/>
      <c r="AI305" s="256"/>
      <c r="AJ305" s="256"/>
      <c r="AK305" s="237"/>
      <c r="AL305" s="56"/>
      <c r="AM305" s="56"/>
      <c r="AN305" s="56"/>
      <c r="AO305" s="56"/>
      <c r="AP305" s="56"/>
      <c r="AQ305" s="56"/>
      <c r="AR305" s="56"/>
      <c r="AS305" s="56"/>
      <c r="AT305" s="56"/>
      <c r="AU305" s="56"/>
      <c r="AV305" s="56"/>
      <c r="AW305" s="56"/>
      <c r="AX305" s="56"/>
      <c r="AY305" s="208"/>
      <c r="AZ305" s="211"/>
    </row>
    <row r="306" ht="18" customHeight="1" hidden="1">
      <c r="A306" s="207"/>
      <c r="B306" s="208"/>
      <c r="C306" s="56"/>
      <c r="D306" s="56"/>
      <c r="E306" s="56"/>
      <c r="F306" s="56"/>
      <c r="G306" s="56"/>
      <c r="H306" s="56"/>
      <c r="I306" s="56"/>
      <c r="J306" s="56"/>
      <c r="K306" s="56"/>
      <c r="L306" s="256"/>
      <c r="M306" s="256"/>
      <c r="N306" s="256"/>
      <c r="O306" s="256"/>
      <c r="P306" s="256"/>
      <c r="Q306" s="256"/>
      <c r="R306" s="256"/>
      <c r="S306" s="208"/>
      <c r="T306" s="256"/>
      <c r="U306" s="256"/>
      <c r="V306" s="256"/>
      <c r="W306" s="256"/>
      <c r="X306" s="237"/>
      <c r="Y306" s="256"/>
      <c r="Z306" s="256"/>
      <c r="AA306" s="256"/>
      <c r="AB306" s="256"/>
      <c r="AC306" s="256"/>
      <c r="AD306" s="256"/>
      <c r="AE306" s="256"/>
      <c r="AF306" s="256"/>
      <c r="AG306" s="256"/>
      <c r="AH306" s="256"/>
      <c r="AI306" s="256"/>
      <c r="AJ306" s="256"/>
      <c r="AK306" s="237"/>
      <c r="AL306" s="56"/>
      <c r="AM306" s="56"/>
      <c r="AN306" s="56"/>
      <c r="AO306" s="56"/>
      <c r="AP306" s="56"/>
      <c r="AQ306" s="56"/>
      <c r="AR306" s="56"/>
      <c r="AS306" s="56"/>
      <c r="AT306" s="56"/>
      <c r="AU306" s="56"/>
      <c r="AV306" s="56"/>
      <c r="AW306" s="56"/>
      <c r="AX306" s="56"/>
      <c r="AY306" s="208"/>
      <c r="AZ306" s="211"/>
    </row>
    <row r="307" ht="18" customHeight="1" hidden="1">
      <c r="A307" s="207"/>
      <c r="B307" s="208"/>
      <c r="C307" s="56"/>
      <c r="D307" s="56"/>
      <c r="E307" s="56"/>
      <c r="F307" s="56"/>
      <c r="G307" s="56"/>
      <c r="H307" s="56"/>
      <c r="I307" s="56"/>
      <c r="J307" s="56"/>
      <c r="K307" s="56"/>
      <c r="L307" s="256"/>
      <c r="M307" s="256"/>
      <c r="N307" s="256"/>
      <c r="O307" s="256"/>
      <c r="P307" s="256"/>
      <c r="Q307" s="256"/>
      <c r="R307" s="256"/>
      <c r="S307" s="208"/>
      <c r="T307" s="256"/>
      <c r="U307" s="256"/>
      <c r="V307" s="256"/>
      <c r="W307" s="256"/>
      <c r="X307" s="237"/>
      <c r="Y307" s="256"/>
      <c r="Z307" s="256"/>
      <c r="AA307" s="256"/>
      <c r="AB307" s="256"/>
      <c r="AC307" s="256"/>
      <c r="AD307" s="256"/>
      <c r="AE307" s="256"/>
      <c r="AF307" s="256"/>
      <c r="AG307" s="256"/>
      <c r="AH307" s="256"/>
      <c r="AI307" s="256"/>
      <c r="AJ307" s="256"/>
      <c r="AK307" s="237"/>
      <c r="AL307" s="56"/>
      <c r="AM307" s="56"/>
      <c r="AN307" s="56"/>
      <c r="AO307" s="56"/>
      <c r="AP307" s="56"/>
      <c r="AQ307" s="56"/>
      <c r="AR307" s="56"/>
      <c r="AS307" s="56"/>
      <c r="AT307" s="56"/>
      <c r="AU307" s="56"/>
      <c r="AV307" s="56"/>
      <c r="AW307" s="56"/>
      <c r="AX307" s="56"/>
      <c r="AY307" s="208"/>
      <c r="AZ307" s="211"/>
    </row>
    <row r="308" ht="18" customHeight="1" hidden="1">
      <c r="A308" s="207"/>
      <c r="B308" s="208"/>
      <c r="C308" s="56"/>
      <c r="D308" s="56"/>
      <c r="E308" s="56"/>
      <c r="F308" s="56"/>
      <c r="G308" s="56"/>
      <c r="H308" s="56"/>
      <c r="I308" s="56"/>
      <c r="J308" s="56"/>
      <c r="K308" s="56"/>
      <c r="L308" s="256"/>
      <c r="M308" s="256"/>
      <c r="N308" s="256"/>
      <c r="O308" s="256"/>
      <c r="P308" s="256"/>
      <c r="Q308" s="256"/>
      <c r="R308" s="256"/>
      <c r="S308" s="208"/>
      <c r="T308" s="256"/>
      <c r="U308" s="256"/>
      <c r="V308" s="256"/>
      <c r="W308" s="256"/>
      <c r="X308" s="237"/>
      <c r="Y308" s="256"/>
      <c r="Z308" s="256"/>
      <c r="AA308" s="256"/>
      <c r="AB308" s="256"/>
      <c r="AC308" s="256"/>
      <c r="AD308" s="256"/>
      <c r="AE308" s="256"/>
      <c r="AF308" s="256"/>
      <c r="AG308" s="256"/>
      <c r="AH308" s="256"/>
      <c r="AI308" s="256"/>
      <c r="AJ308" s="256"/>
      <c r="AK308" s="237"/>
      <c r="AL308" s="56"/>
      <c r="AM308" s="56"/>
      <c r="AN308" s="56"/>
      <c r="AO308" s="56"/>
      <c r="AP308" s="56"/>
      <c r="AQ308" s="56"/>
      <c r="AR308" s="56"/>
      <c r="AS308" s="56"/>
      <c r="AT308" s="56"/>
      <c r="AU308" s="56"/>
      <c r="AV308" s="56"/>
      <c r="AW308" s="56"/>
      <c r="AX308" s="56"/>
      <c r="AY308" s="208"/>
      <c r="AZ308" s="211"/>
    </row>
    <row r="309" ht="18" customHeight="1" hidden="1">
      <c r="A309" s="207"/>
      <c r="B309" s="208"/>
      <c r="C309" s="56"/>
      <c r="D309" s="56"/>
      <c r="E309" s="56"/>
      <c r="F309" s="56"/>
      <c r="G309" s="56"/>
      <c r="H309" s="56"/>
      <c r="I309" s="56"/>
      <c r="J309" s="56"/>
      <c r="K309" s="56"/>
      <c r="L309" s="256"/>
      <c r="M309" s="256"/>
      <c r="N309" s="256"/>
      <c r="O309" s="256"/>
      <c r="P309" s="256"/>
      <c r="Q309" s="256"/>
      <c r="R309" s="256"/>
      <c r="S309" s="208"/>
      <c r="T309" s="256"/>
      <c r="U309" s="256"/>
      <c r="V309" s="256"/>
      <c r="W309" s="256"/>
      <c r="X309" s="237"/>
      <c r="Y309" s="256"/>
      <c r="Z309" s="256"/>
      <c r="AA309" s="256"/>
      <c r="AB309" s="256"/>
      <c r="AC309" s="256"/>
      <c r="AD309" s="256"/>
      <c r="AE309" s="256"/>
      <c r="AF309" s="256"/>
      <c r="AG309" s="256"/>
      <c r="AH309" s="256"/>
      <c r="AI309" s="256"/>
      <c r="AJ309" s="256"/>
      <c r="AK309" s="237"/>
      <c r="AL309" s="56"/>
      <c r="AM309" s="56"/>
      <c r="AN309" s="56"/>
      <c r="AO309" s="56"/>
      <c r="AP309" s="56"/>
      <c r="AQ309" s="56"/>
      <c r="AR309" s="56"/>
      <c r="AS309" s="56"/>
      <c r="AT309" s="56"/>
      <c r="AU309" s="56"/>
      <c r="AV309" s="56"/>
      <c r="AW309" s="56"/>
      <c r="AX309" s="56"/>
      <c r="AY309" s="208"/>
      <c r="AZ309" s="211"/>
    </row>
    <row r="310" ht="18" customHeight="1" hidden="1">
      <c r="A310" s="207"/>
      <c r="B310" s="208"/>
      <c r="C310" s="56"/>
      <c r="D310" s="56"/>
      <c r="E310" s="56"/>
      <c r="F310" s="56"/>
      <c r="G310" s="56"/>
      <c r="H310" s="56"/>
      <c r="I310" s="56"/>
      <c r="J310" s="56"/>
      <c r="K310" s="56"/>
      <c r="L310" s="256"/>
      <c r="M310" s="256"/>
      <c r="N310" s="256"/>
      <c r="O310" s="256"/>
      <c r="P310" s="256"/>
      <c r="Q310" s="256"/>
      <c r="R310" s="256"/>
      <c r="S310" s="208"/>
      <c r="T310" s="256"/>
      <c r="U310" s="256"/>
      <c r="V310" s="256"/>
      <c r="W310" s="256"/>
      <c r="X310" s="237"/>
      <c r="Y310" s="256"/>
      <c r="Z310" s="256"/>
      <c r="AA310" s="256"/>
      <c r="AB310" s="256"/>
      <c r="AC310" s="256"/>
      <c r="AD310" s="256"/>
      <c r="AE310" s="256"/>
      <c r="AF310" s="256"/>
      <c r="AG310" s="256"/>
      <c r="AH310" s="256"/>
      <c r="AI310" s="256"/>
      <c r="AJ310" s="256"/>
      <c r="AK310" s="237"/>
      <c r="AL310" s="56"/>
      <c r="AM310" s="56"/>
      <c r="AN310" s="56"/>
      <c r="AO310" s="56"/>
      <c r="AP310" s="56"/>
      <c r="AQ310" s="56"/>
      <c r="AR310" s="56"/>
      <c r="AS310" s="56"/>
      <c r="AT310" s="56"/>
      <c r="AU310" s="56"/>
      <c r="AV310" s="56"/>
      <c r="AW310" s="56"/>
      <c r="AX310" s="56"/>
      <c r="AY310" s="208"/>
      <c r="AZ310" s="211"/>
    </row>
    <row r="311" ht="18" customHeight="1" hidden="1">
      <c r="A311" s="207"/>
      <c r="B311" s="208"/>
      <c r="C311" s="56"/>
      <c r="D311" s="56"/>
      <c r="E311" s="56"/>
      <c r="F311" s="56"/>
      <c r="G311" s="56"/>
      <c r="H311" s="56"/>
      <c r="I311" s="56"/>
      <c r="J311" s="56"/>
      <c r="K311" s="56"/>
      <c r="L311" s="256"/>
      <c r="M311" s="256"/>
      <c r="N311" s="256"/>
      <c r="O311" s="256"/>
      <c r="P311" s="256"/>
      <c r="Q311" s="256"/>
      <c r="R311" s="256"/>
      <c r="S311" s="208"/>
      <c r="T311" s="256"/>
      <c r="U311" s="256"/>
      <c r="V311" s="256"/>
      <c r="W311" s="256"/>
      <c r="X311" s="237"/>
      <c r="Y311" s="256"/>
      <c r="Z311" s="256"/>
      <c r="AA311" s="256"/>
      <c r="AB311" s="256"/>
      <c r="AC311" s="256"/>
      <c r="AD311" s="256"/>
      <c r="AE311" s="256"/>
      <c r="AF311" s="256"/>
      <c r="AG311" s="256"/>
      <c r="AH311" s="256"/>
      <c r="AI311" s="256"/>
      <c r="AJ311" s="256"/>
      <c r="AK311" s="237"/>
      <c r="AL311" s="56"/>
      <c r="AM311" s="56"/>
      <c r="AN311" s="56"/>
      <c r="AO311" s="56"/>
      <c r="AP311" s="56"/>
      <c r="AQ311" s="56"/>
      <c r="AR311" s="56"/>
      <c r="AS311" s="56"/>
      <c r="AT311" s="56"/>
      <c r="AU311" s="56"/>
      <c r="AV311" s="56"/>
      <c r="AW311" s="56"/>
      <c r="AX311" s="56"/>
      <c r="AY311" s="208"/>
      <c r="AZ311" s="211"/>
    </row>
    <row r="312" ht="18" customHeight="1" hidden="1">
      <c r="A312" s="207"/>
      <c r="B312" s="208"/>
      <c r="C312" s="56"/>
      <c r="D312" s="56"/>
      <c r="E312" s="56"/>
      <c r="F312" s="56"/>
      <c r="G312" s="56"/>
      <c r="H312" s="56"/>
      <c r="I312" s="56"/>
      <c r="J312" s="56"/>
      <c r="K312" s="56"/>
      <c r="L312" s="256"/>
      <c r="M312" s="256"/>
      <c r="N312" s="256"/>
      <c r="O312" s="256"/>
      <c r="P312" s="256"/>
      <c r="Q312" s="256"/>
      <c r="R312" s="256"/>
      <c r="S312" s="208"/>
      <c r="T312" s="256"/>
      <c r="U312" s="256"/>
      <c r="V312" s="256"/>
      <c r="W312" s="256"/>
      <c r="X312" s="237"/>
      <c r="Y312" s="256"/>
      <c r="Z312" s="256"/>
      <c r="AA312" s="256"/>
      <c r="AB312" s="256"/>
      <c r="AC312" s="256"/>
      <c r="AD312" s="256"/>
      <c r="AE312" s="256"/>
      <c r="AF312" s="256"/>
      <c r="AG312" s="256"/>
      <c r="AH312" s="256"/>
      <c r="AI312" s="256"/>
      <c r="AJ312" s="256"/>
      <c r="AK312" s="237"/>
      <c r="AL312" s="56"/>
      <c r="AM312" s="56"/>
      <c r="AN312" s="56"/>
      <c r="AO312" s="56"/>
      <c r="AP312" s="56"/>
      <c r="AQ312" s="56"/>
      <c r="AR312" s="56"/>
      <c r="AS312" s="56"/>
      <c r="AT312" s="56"/>
      <c r="AU312" s="56"/>
      <c r="AV312" s="56"/>
      <c r="AW312" s="56"/>
      <c r="AX312" s="56"/>
      <c r="AY312" s="208"/>
      <c r="AZ312" s="211"/>
    </row>
    <row r="313" ht="18" customHeight="1" hidden="1">
      <c r="A313" s="207"/>
      <c r="B313" s="208"/>
      <c r="C313" s="56"/>
      <c r="D313" s="56"/>
      <c r="E313" s="56"/>
      <c r="F313" s="56"/>
      <c r="G313" s="56"/>
      <c r="H313" s="56"/>
      <c r="I313" s="56"/>
      <c r="J313" s="56"/>
      <c r="K313" s="56"/>
      <c r="L313" s="256"/>
      <c r="M313" s="256"/>
      <c r="N313" s="256"/>
      <c r="O313" s="256"/>
      <c r="P313" s="256"/>
      <c r="Q313" s="256"/>
      <c r="R313" s="256"/>
      <c r="S313" s="208"/>
      <c r="T313" s="256"/>
      <c r="U313" s="256"/>
      <c r="V313" s="256"/>
      <c r="W313" s="256"/>
      <c r="X313" s="237"/>
      <c r="Y313" s="256"/>
      <c r="Z313" s="256"/>
      <c r="AA313" s="256"/>
      <c r="AB313" s="256"/>
      <c r="AC313" s="256"/>
      <c r="AD313" s="256"/>
      <c r="AE313" s="256"/>
      <c r="AF313" s="256"/>
      <c r="AG313" s="256"/>
      <c r="AH313" s="256"/>
      <c r="AI313" s="256"/>
      <c r="AJ313" s="256"/>
      <c r="AK313" s="237"/>
      <c r="AL313" s="56"/>
      <c r="AM313" s="56"/>
      <c r="AN313" s="56"/>
      <c r="AO313" s="56"/>
      <c r="AP313" s="56"/>
      <c r="AQ313" s="56"/>
      <c r="AR313" s="56"/>
      <c r="AS313" s="56"/>
      <c r="AT313" s="56"/>
      <c r="AU313" s="56"/>
      <c r="AV313" s="56"/>
      <c r="AW313" s="56"/>
      <c r="AX313" s="56"/>
      <c r="AY313" s="208"/>
      <c r="AZ313" s="211"/>
    </row>
    <row r="314" ht="18" customHeight="1" hidden="1">
      <c r="A314" s="207"/>
      <c r="B314" s="208"/>
      <c r="C314" s="56"/>
      <c r="D314" s="56"/>
      <c r="E314" s="56"/>
      <c r="F314" s="56"/>
      <c r="G314" s="56"/>
      <c r="H314" s="56"/>
      <c r="I314" s="56"/>
      <c r="J314" s="56"/>
      <c r="K314" s="56"/>
      <c r="L314" s="256"/>
      <c r="M314" s="256"/>
      <c r="N314" s="256"/>
      <c r="O314" s="256"/>
      <c r="P314" s="256"/>
      <c r="Q314" s="256"/>
      <c r="R314" s="256"/>
      <c r="S314" s="208"/>
      <c r="T314" s="256"/>
      <c r="U314" s="256"/>
      <c r="V314" s="256"/>
      <c r="W314" s="256"/>
      <c r="X314" s="237"/>
      <c r="Y314" s="256"/>
      <c r="Z314" s="256"/>
      <c r="AA314" s="256"/>
      <c r="AB314" s="256"/>
      <c r="AC314" s="256"/>
      <c r="AD314" s="256"/>
      <c r="AE314" s="256"/>
      <c r="AF314" s="256"/>
      <c r="AG314" s="256"/>
      <c r="AH314" s="256"/>
      <c r="AI314" s="256"/>
      <c r="AJ314" s="256"/>
      <c r="AK314" s="237"/>
      <c r="AL314" s="56"/>
      <c r="AM314" s="56"/>
      <c r="AN314" s="56"/>
      <c r="AO314" s="56"/>
      <c r="AP314" s="56"/>
      <c r="AQ314" s="56"/>
      <c r="AR314" s="56"/>
      <c r="AS314" s="56"/>
      <c r="AT314" s="56"/>
      <c r="AU314" s="56"/>
      <c r="AV314" s="56"/>
      <c r="AW314" s="56"/>
      <c r="AX314" s="56"/>
      <c r="AY314" s="208"/>
      <c r="AZ314" s="211"/>
    </row>
    <row r="315" ht="18" customHeight="1" hidden="1">
      <c r="A315" s="207"/>
      <c r="B315" s="208"/>
      <c r="C315" s="56"/>
      <c r="D315" s="56"/>
      <c r="E315" s="56"/>
      <c r="F315" s="56"/>
      <c r="G315" s="56"/>
      <c r="H315" s="56"/>
      <c r="I315" s="56"/>
      <c r="J315" s="56"/>
      <c r="K315" s="56"/>
      <c r="L315" s="256"/>
      <c r="M315" s="256"/>
      <c r="N315" s="256"/>
      <c r="O315" s="256"/>
      <c r="P315" s="256"/>
      <c r="Q315" s="256"/>
      <c r="R315" s="256"/>
      <c r="S315" s="208"/>
      <c r="T315" s="256"/>
      <c r="U315" s="256"/>
      <c r="V315" s="256"/>
      <c r="W315" s="256"/>
      <c r="X315" s="237"/>
      <c r="Y315" s="256"/>
      <c r="Z315" s="256"/>
      <c r="AA315" s="256"/>
      <c r="AB315" s="256"/>
      <c r="AC315" s="256"/>
      <c r="AD315" s="256"/>
      <c r="AE315" s="256"/>
      <c r="AF315" s="256"/>
      <c r="AG315" s="256"/>
      <c r="AH315" s="256"/>
      <c r="AI315" s="256"/>
      <c r="AJ315" s="256"/>
      <c r="AK315" s="237"/>
      <c r="AL315" s="56"/>
      <c r="AM315" s="56"/>
      <c r="AN315" s="56"/>
      <c r="AO315" s="56"/>
      <c r="AP315" s="56"/>
      <c r="AQ315" s="56"/>
      <c r="AR315" s="56"/>
      <c r="AS315" s="56"/>
      <c r="AT315" s="56"/>
      <c r="AU315" s="56"/>
      <c r="AV315" s="56"/>
      <c r="AW315" s="56"/>
      <c r="AX315" s="56"/>
      <c r="AY315" s="208"/>
      <c r="AZ315" s="211"/>
    </row>
    <row r="316" ht="18" customHeight="1" hidden="1">
      <c r="A316" s="207"/>
      <c r="B316" s="208"/>
      <c r="C316" s="56"/>
      <c r="D316" s="56"/>
      <c r="E316" s="56"/>
      <c r="F316" s="56"/>
      <c r="G316" s="56"/>
      <c r="H316" s="56"/>
      <c r="I316" s="56"/>
      <c r="J316" s="56"/>
      <c r="K316" s="56"/>
      <c r="L316" s="256"/>
      <c r="M316" s="256"/>
      <c r="N316" s="256"/>
      <c r="O316" s="256"/>
      <c r="P316" s="256"/>
      <c r="Q316" s="256"/>
      <c r="R316" s="256"/>
      <c r="S316" s="208"/>
      <c r="T316" s="256"/>
      <c r="U316" s="256"/>
      <c r="V316" s="256"/>
      <c r="W316" s="256"/>
      <c r="X316" s="237"/>
      <c r="Y316" s="256"/>
      <c r="Z316" s="256"/>
      <c r="AA316" s="256"/>
      <c r="AB316" s="256"/>
      <c r="AC316" s="256"/>
      <c r="AD316" s="256"/>
      <c r="AE316" s="256"/>
      <c r="AF316" s="256"/>
      <c r="AG316" s="256"/>
      <c r="AH316" s="256"/>
      <c r="AI316" s="256"/>
      <c r="AJ316" s="256"/>
      <c r="AK316" s="237"/>
      <c r="AL316" s="56"/>
      <c r="AM316" s="56"/>
      <c r="AN316" s="56"/>
      <c r="AO316" s="56"/>
      <c r="AP316" s="56"/>
      <c r="AQ316" s="56"/>
      <c r="AR316" s="56"/>
      <c r="AS316" s="56"/>
      <c r="AT316" s="56"/>
      <c r="AU316" s="56"/>
      <c r="AV316" s="56"/>
      <c r="AW316" s="56"/>
      <c r="AX316" s="56"/>
      <c r="AY316" s="208"/>
      <c r="AZ316" s="211"/>
    </row>
    <row r="317" ht="18" customHeight="1" hidden="1">
      <c r="A317" s="207"/>
      <c r="B317" s="208"/>
      <c r="C317" s="56"/>
      <c r="D317" s="56"/>
      <c r="E317" s="56"/>
      <c r="F317" s="56"/>
      <c r="G317" s="56"/>
      <c r="H317" s="56"/>
      <c r="I317" s="56"/>
      <c r="J317" s="56"/>
      <c r="K317" s="56"/>
      <c r="L317" s="256"/>
      <c r="M317" s="256"/>
      <c r="N317" s="256"/>
      <c r="O317" s="256"/>
      <c r="P317" s="256"/>
      <c r="Q317" s="256"/>
      <c r="R317" s="256"/>
      <c r="S317" s="208"/>
      <c r="T317" s="256"/>
      <c r="U317" s="256"/>
      <c r="V317" s="256"/>
      <c r="W317" s="256"/>
      <c r="X317" s="237"/>
      <c r="Y317" s="256"/>
      <c r="Z317" s="256"/>
      <c r="AA317" s="256"/>
      <c r="AB317" s="256"/>
      <c r="AC317" s="256"/>
      <c r="AD317" s="256"/>
      <c r="AE317" s="256"/>
      <c r="AF317" s="256"/>
      <c r="AG317" s="256"/>
      <c r="AH317" s="256"/>
      <c r="AI317" s="256"/>
      <c r="AJ317" s="256"/>
      <c r="AK317" s="237"/>
      <c r="AL317" s="56"/>
      <c r="AM317" s="56"/>
      <c r="AN317" s="56"/>
      <c r="AO317" s="56"/>
      <c r="AP317" s="56"/>
      <c r="AQ317" s="56"/>
      <c r="AR317" s="56"/>
      <c r="AS317" s="56"/>
      <c r="AT317" s="56"/>
      <c r="AU317" s="56"/>
      <c r="AV317" s="56"/>
      <c r="AW317" s="56"/>
      <c r="AX317" s="56"/>
      <c r="AY317" s="208"/>
      <c r="AZ317" s="211"/>
    </row>
    <row r="318" ht="18" customHeight="1" hidden="1">
      <c r="A318" s="207"/>
      <c r="B318" s="208"/>
      <c r="C318" s="56"/>
      <c r="D318" s="56"/>
      <c r="E318" s="56"/>
      <c r="F318" s="56"/>
      <c r="G318" s="56"/>
      <c r="H318" s="56"/>
      <c r="I318" s="56"/>
      <c r="J318" s="56"/>
      <c r="K318" s="56"/>
      <c r="L318" s="256"/>
      <c r="M318" s="256"/>
      <c r="N318" s="256"/>
      <c r="O318" s="256"/>
      <c r="P318" s="256"/>
      <c r="Q318" s="256"/>
      <c r="R318" s="256"/>
      <c r="S318" s="208"/>
      <c r="T318" s="256"/>
      <c r="U318" s="256"/>
      <c r="V318" s="256"/>
      <c r="W318" s="256"/>
      <c r="X318" s="237"/>
      <c r="Y318" s="256"/>
      <c r="Z318" s="256"/>
      <c r="AA318" s="256"/>
      <c r="AB318" s="256"/>
      <c r="AC318" s="256"/>
      <c r="AD318" s="256"/>
      <c r="AE318" s="256"/>
      <c r="AF318" s="256"/>
      <c r="AG318" s="256"/>
      <c r="AH318" s="256"/>
      <c r="AI318" s="256"/>
      <c r="AJ318" s="256"/>
      <c r="AK318" s="237"/>
      <c r="AL318" s="56"/>
      <c r="AM318" s="56"/>
      <c r="AN318" s="56"/>
      <c r="AO318" s="56"/>
      <c r="AP318" s="56"/>
      <c r="AQ318" s="56"/>
      <c r="AR318" s="56"/>
      <c r="AS318" s="56"/>
      <c r="AT318" s="56"/>
      <c r="AU318" s="56"/>
      <c r="AV318" s="56"/>
      <c r="AW318" s="56"/>
      <c r="AX318" s="56"/>
      <c r="AY318" s="208"/>
      <c r="AZ318" s="211"/>
    </row>
    <row r="319" ht="18" customHeight="1" hidden="1">
      <c r="A319" s="207"/>
      <c r="B319" s="208"/>
      <c r="C319" s="56"/>
      <c r="D319" s="56"/>
      <c r="E319" s="56"/>
      <c r="F319" s="56"/>
      <c r="G319" s="56"/>
      <c r="H319" s="56"/>
      <c r="I319" s="56"/>
      <c r="J319" s="56"/>
      <c r="K319" s="56"/>
      <c r="L319" s="256"/>
      <c r="M319" s="256"/>
      <c r="N319" s="256"/>
      <c r="O319" s="256"/>
      <c r="P319" s="256"/>
      <c r="Q319" s="256"/>
      <c r="R319" s="256"/>
      <c r="S319" s="208"/>
      <c r="T319" s="256"/>
      <c r="U319" s="256"/>
      <c r="V319" s="256"/>
      <c r="W319" s="256"/>
      <c r="X319" s="237"/>
      <c r="Y319" s="256"/>
      <c r="Z319" s="256"/>
      <c r="AA319" s="256"/>
      <c r="AB319" s="256"/>
      <c r="AC319" s="256"/>
      <c r="AD319" s="256"/>
      <c r="AE319" s="256"/>
      <c r="AF319" s="256"/>
      <c r="AG319" s="256"/>
      <c r="AH319" s="256"/>
      <c r="AI319" s="256"/>
      <c r="AJ319" s="256"/>
      <c r="AK319" s="237"/>
      <c r="AL319" s="56"/>
      <c r="AM319" s="56"/>
      <c r="AN319" s="56"/>
      <c r="AO319" s="56"/>
      <c r="AP319" s="56"/>
      <c r="AQ319" s="56"/>
      <c r="AR319" s="56"/>
      <c r="AS319" s="56"/>
      <c r="AT319" s="56"/>
      <c r="AU319" s="56"/>
      <c r="AV319" s="56"/>
      <c r="AW319" s="56"/>
      <c r="AX319" s="56"/>
      <c r="AY319" s="208"/>
      <c r="AZ319" s="211"/>
    </row>
    <row r="320" ht="18" customHeight="1" hidden="1">
      <c r="A320" s="207"/>
      <c r="B320" s="208"/>
      <c r="C320" s="56"/>
      <c r="D320" s="56"/>
      <c r="E320" s="56"/>
      <c r="F320" s="56"/>
      <c r="G320" s="56"/>
      <c r="H320" s="56"/>
      <c r="I320" s="56"/>
      <c r="J320" s="56"/>
      <c r="K320" s="56"/>
      <c r="L320" s="256"/>
      <c r="M320" s="256"/>
      <c r="N320" s="256"/>
      <c r="O320" s="256"/>
      <c r="P320" s="256"/>
      <c r="Q320" s="256"/>
      <c r="R320" s="256"/>
      <c r="S320" s="208"/>
      <c r="T320" s="256"/>
      <c r="U320" s="256"/>
      <c r="V320" s="256"/>
      <c r="W320" s="256"/>
      <c r="X320" s="237"/>
      <c r="Y320" s="256"/>
      <c r="Z320" s="256"/>
      <c r="AA320" s="256"/>
      <c r="AB320" s="256"/>
      <c r="AC320" s="256"/>
      <c r="AD320" s="256"/>
      <c r="AE320" s="256"/>
      <c r="AF320" s="256"/>
      <c r="AG320" s="256"/>
      <c r="AH320" s="256"/>
      <c r="AI320" s="256"/>
      <c r="AJ320" s="256"/>
      <c r="AK320" s="237"/>
      <c r="AL320" s="56"/>
      <c r="AM320" s="56"/>
      <c r="AN320" s="56"/>
      <c r="AO320" s="56"/>
      <c r="AP320" s="56"/>
      <c r="AQ320" s="56"/>
      <c r="AR320" s="56"/>
      <c r="AS320" s="56"/>
      <c r="AT320" s="56"/>
      <c r="AU320" s="56"/>
      <c r="AV320" s="56"/>
      <c r="AW320" s="56"/>
      <c r="AX320" s="56"/>
      <c r="AY320" s="208"/>
      <c r="AZ320" s="211"/>
    </row>
    <row r="321" ht="18" customHeight="1" hidden="1">
      <c r="A321" s="207"/>
      <c r="B321" s="208"/>
      <c r="C321" s="56"/>
      <c r="D321" s="56"/>
      <c r="E321" s="56"/>
      <c r="F321" s="56"/>
      <c r="G321" s="56"/>
      <c r="H321" s="56"/>
      <c r="I321" s="56"/>
      <c r="J321" s="56"/>
      <c r="K321" s="56"/>
      <c r="L321" s="256"/>
      <c r="M321" s="256"/>
      <c r="N321" s="256"/>
      <c r="O321" s="256"/>
      <c r="P321" s="256"/>
      <c r="Q321" s="256"/>
      <c r="R321" s="256"/>
      <c r="S321" s="208"/>
      <c r="T321" s="256"/>
      <c r="U321" s="256"/>
      <c r="V321" s="256"/>
      <c r="W321" s="256"/>
      <c r="X321" s="237"/>
      <c r="Y321" s="256"/>
      <c r="Z321" s="256"/>
      <c r="AA321" s="256"/>
      <c r="AB321" s="256"/>
      <c r="AC321" s="256"/>
      <c r="AD321" s="256"/>
      <c r="AE321" s="256"/>
      <c r="AF321" s="256"/>
      <c r="AG321" s="256"/>
      <c r="AH321" s="256"/>
      <c r="AI321" s="256"/>
      <c r="AJ321" s="256"/>
      <c r="AK321" s="237"/>
      <c r="AL321" s="56"/>
      <c r="AM321" s="56"/>
      <c r="AN321" s="56"/>
      <c r="AO321" s="56"/>
      <c r="AP321" s="56"/>
      <c r="AQ321" s="56"/>
      <c r="AR321" s="56"/>
      <c r="AS321" s="56"/>
      <c r="AT321" s="56"/>
      <c r="AU321" s="56"/>
      <c r="AV321" s="56"/>
      <c r="AW321" s="56"/>
      <c r="AX321" s="56"/>
      <c r="AY321" s="208"/>
      <c r="AZ321" s="211"/>
    </row>
    <row r="322" ht="18" customHeight="1" hidden="1">
      <c r="A322" s="207"/>
      <c r="B322" s="208"/>
      <c r="C322" s="56"/>
      <c r="D322" s="56"/>
      <c r="E322" s="56"/>
      <c r="F322" s="56"/>
      <c r="G322" s="56"/>
      <c r="H322" s="56"/>
      <c r="I322" s="56"/>
      <c r="J322" s="56"/>
      <c r="K322" s="56"/>
      <c r="L322" s="256"/>
      <c r="M322" s="256"/>
      <c r="N322" s="256"/>
      <c r="O322" s="256"/>
      <c r="P322" s="256"/>
      <c r="Q322" s="256"/>
      <c r="R322" s="256"/>
      <c r="S322" s="208"/>
      <c r="T322" s="256"/>
      <c r="U322" s="256"/>
      <c r="V322" s="256"/>
      <c r="W322" s="256"/>
      <c r="X322" s="237"/>
      <c r="Y322" s="256"/>
      <c r="Z322" s="256"/>
      <c r="AA322" s="256"/>
      <c r="AB322" s="256"/>
      <c r="AC322" s="256"/>
      <c r="AD322" s="256"/>
      <c r="AE322" s="256"/>
      <c r="AF322" s="256"/>
      <c r="AG322" s="256"/>
      <c r="AH322" s="256"/>
      <c r="AI322" s="256"/>
      <c r="AJ322" s="256"/>
      <c r="AK322" s="237"/>
      <c r="AL322" s="56"/>
      <c r="AM322" s="56"/>
      <c r="AN322" s="56"/>
      <c r="AO322" s="56"/>
      <c r="AP322" s="56"/>
      <c r="AQ322" s="56"/>
      <c r="AR322" s="56"/>
      <c r="AS322" s="56"/>
      <c r="AT322" s="56"/>
      <c r="AU322" s="56"/>
      <c r="AV322" s="56"/>
      <c r="AW322" s="56"/>
      <c r="AX322" s="56"/>
      <c r="AY322" s="208"/>
      <c r="AZ322" s="211"/>
    </row>
    <row r="323" ht="18" customHeight="1" hidden="1">
      <c r="A323" s="207"/>
      <c r="B323" s="208"/>
      <c r="C323" s="56"/>
      <c r="D323" s="56"/>
      <c r="E323" s="56"/>
      <c r="F323" s="56"/>
      <c r="G323" s="56"/>
      <c r="H323" s="56"/>
      <c r="I323" s="56"/>
      <c r="J323" s="56"/>
      <c r="K323" s="56"/>
      <c r="L323" s="256"/>
      <c r="M323" s="256"/>
      <c r="N323" s="256"/>
      <c r="O323" s="256"/>
      <c r="P323" s="256"/>
      <c r="Q323" s="256"/>
      <c r="R323" s="256"/>
      <c r="S323" s="208"/>
      <c r="T323" s="256"/>
      <c r="U323" s="256"/>
      <c r="V323" s="256"/>
      <c r="W323" s="256"/>
      <c r="X323" s="237"/>
      <c r="Y323" s="256"/>
      <c r="Z323" s="256"/>
      <c r="AA323" s="256"/>
      <c r="AB323" s="256"/>
      <c r="AC323" s="256"/>
      <c r="AD323" s="256"/>
      <c r="AE323" s="256"/>
      <c r="AF323" s="256"/>
      <c r="AG323" s="256"/>
      <c r="AH323" s="256"/>
      <c r="AI323" s="256"/>
      <c r="AJ323" s="256"/>
      <c r="AK323" s="237"/>
      <c r="AL323" s="56"/>
      <c r="AM323" s="56"/>
      <c r="AN323" s="56"/>
      <c r="AO323" s="56"/>
      <c r="AP323" s="56"/>
      <c r="AQ323" s="56"/>
      <c r="AR323" s="56"/>
      <c r="AS323" s="56"/>
      <c r="AT323" s="56"/>
      <c r="AU323" s="56"/>
      <c r="AV323" s="56"/>
      <c r="AW323" s="56"/>
      <c r="AX323" s="56"/>
      <c r="AY323" s="208"/>
      <c r="AZ323" s="211"/>
    </row>
    <row r="324" ht="18" customHeight="1" hidden="1">
      <c r="A324" s="207"/>
      <c r="B324" s="208"/>
      <c r="C324" s="56"/>
      <c r="D324" s="56"/>
      <c r="E324" s="56"/>
      <c r="F324" s="56"/>
      <c r="G324" s="56"/>
      <c r="H324" s="56"/>
      <c r="I324" s="56"/>
      <c r="J324" s="56"/>
      <c r="K324" s="56"/>
      <c r="L324" s="256"/>
      <c r="M324" s="256"/>
      <c r="N324" s="256"/>
      <c r="O324" s="256"/>
      <c r="P324" s="256"/>
      <c r="Q324" s="256"/>
      <c r="R324" s="256"/>
      <c r="S324" s="208"/>
      <c r="T324" s="256"/>
      <c r="U324" s="256"/>
      <c r="V324" s="256"/>
      <c r="W324" s="256"/>
      <c r="X324" s="237"/>
      <c r="Y324" s="256"/>
      <c r="Z324" s="256"/>
      <c r="AA324" s="256"/>
      <c r="AB324" s="256"/>
      <c r="AC324" s="256"/>
      <c r="AD324" s="256"/>
      <c r="AE324" s="256"/>
      <c r="AF324" s="256"/>
      <c r="AG324" s="256"/>
      <c r="AH324" s="256"/>
      <c r="AI324" s="256"/>
      <c r="AJ324" s="256"/>
      <c r="AK324" s="237"/>
      <c r="AL324" s="56"/>
      <c r="AM324" s="56"/>
      <c r="AN324" s="56"/>
      <c r="AO324" s="56"/>
      <c r="AP324" s="56"/>
      <c r="AQ324" s="56"/>
      <c r="AR324" s="56"/>
      <c r="AS324" s="56"/>
      <c r="AT324" s="56"/>
      <c r="AU324" s="56"/>
      <c r="AV324" s="56"/>
      <c r="AW324" s="56"/>
      <c r="AX324" s="56"/>
      <c r="AY324" s="208"/>
      <c r="AZ324" s="211"/>
    </row>
    <row r="325" ht="18" customHeight="1" hidden="1">
      <c r="A325" s="207"/>
      <c r="B325" s="208"/>
      <c r="C325" s="56"/>
      <c r="D325" s="56"/>
      <c r="E325" s="56"/>
      <c r="F325" s="56"/>
      <c r="G325" s="56"/>
      <c r="H325" s="56"/>
      <c r="I325" s="56"/>
      <c r="J325" s="56"/>
      <c r="K325" s="56"/>
      <c r="L325" s="256"/>
      <c r="M325" s="256"/>
      <c r="N325" s="256"/>
      <c r="O325" s="256"/>
      <c r="P325" s="256"/>
      <c r="Q325" s="256"/>
      <c r="R325" s="256"/>
      <c r="S325" s="208"/>
      <c r="T325" s="256"/>
      <c r="U325" s="256"/>
      <c r="V325" s="256"/>
      <c r="W325" s="256"/>
      <c r="X325" s="237"/>
      <c r="Y325" s="256"/>
      <c r="Z325" s="256"/>
      <c r="AA325" s="256"/>
      <c r="AB325" s="256"/>
      <c r="AC325" s="256"/>
      <c r="AD325" s="256"/>
      <c r="AE325" s="256"/>
      <c r="AF325" s="256"/>
      <c r="AG325" s="256"/>
      <c r="AH325" s="256"/>
      <c r="AI325" s="256"/>
      <c r="AJ325" s="256"/>
      <c r="AK325" s="237"/>
      <c r="AL325" s="56"/>
      <c r="AM325" s="56"/>
      <c r="AN325" s="56"/>
      <c r="AO325" s="56"/>
      <c r="AP325" s="56"/>
      <c r="AQ325" s="56"/>
      <c r="AR325" s="56"/>
      <c r="AS325" s="56"/>
      <c r="AT325" s="56"/>
      <c r="AU325" s="56"/>
      <c r="AV325" s="56"/>
      <c r="AW325" s="56"/>
      <c r="AX325" s="56"/>
      <c r="AY325" s="208"/>
      <c r="AZ325" s="211"/>
    </row>
    <row r="326" ht="18" customHeight="1" hidden="1">
      <c r="A326" s="207"/>
      <c r="B326" s="208"/>
      <c r="C326" s="56"/>
      <c r="D326" s="56"/>
      <c r="E326" s="56"/>
      <c r="F326" s="56"/>
      <c r="G326" s="56"/>
      <c r="H326" s="56"/>
      <c r="I326" s="56"/>
      <c r="J326" s="56"/>
      <c r="K326" s="56"/>
      <c r="L326" s="256"/>
      <c r="M326" s="256"/>
      <c r="N326" s="256"/>
      <c r="O326" s="256"/>
      <c r="P326" s="256"/>
      <c r="Q326" s="256"/>
      <c r="R326" s="256"/>
      <c r="S326" s="208"/>
      <c r="T326" s="256"/>
      <c r="U326" s="256"/>
      <c r="V326" s="256"/>
      <c r="W326" s="256"/>
      <c r="X326" s="237"/>
      <c r="Y326" s="256"/>
      <c r="Z326" s="256"/>
      <c r="AA326" s="256"/>
      <c r="AB326" s="256"/>
      <c r="AC326" s="256"/>
      <c r="AD326" s="256"/>
      <c r="AE326" s="256"/>
      <c r="AF326" s="256"/>
      <c r="AG326" s="256"/>
      <c r="AH326" s="256"/>
      <c r="AI326" s="256"/>
      <c r="AJ326" s="256"/>
      <c r="AK326" s="237"/>
      <c r="AL326" s="56"/>
      <c r="AM326" s="56"/>
      <c r="AN326" s="56"/>
      <c r="AO326" s="56"/>
      <c r="AP326" s="56"/>
      <c r="AQ326" s="56"/>
      <c r="AR326" s="56"/>
      <c r="AS326" s="56"/>
      <c r="AT326" s="56"/>
      <c r="AU326" s="56"/>
      <c r="AV326" s="56"/>
      <c r="AW326" s="56"/>
      <c r="AX326" s="56"/>
      <c r="AY326" s="208"/>
      <c r="AZ326" s="211"/>
    </row>
    <row r="327" ht="18" customHeight="1" hidden="1">
      <c r="A327" s="207"/>
      <c r="B327" s="208"/>
      <c r="C327" s="56"/>
      <c r="D327" s="56"/>
      <c r="E327" s="56"/>
      <c r="F327" s="56"/>
      <c r="G327" s="56"/>
      <c r="H327" s="56"/>
      <c r="I327" s="56"/>
      <c r="J327" s="56"/>
      <c r="K327" s="56"/>
      <c r="L327" s="256"/>
      <c r="M327" s="256"/>
      <c r="N327" s="256"/>
      <c r="O327" s="256"/>
      <c r="P327" s="256"/>
      <c r="Q327" s="256"/>
      <c r="R327" s="256"/>
      <c r="S327" s="208"/>
      <c r="T327" s="256"/>
      <c r="U327" s="256"/>
      <c r="V327" s="256"/>
      <c r="W327" s="256"/>
      <c r="X327" s="237"/>
      <c r="Y327" s="256"/>
      <c r="Z327" s="256"/>
      <c r="AA327" s="256"/>
      <c r="AB327" s="256"/>
      <c r="AC327" s="256"/>
      <c r="AD327" s="256"/>
      <c r="AE327" s="256"/>
      <c r="AF327" s="256"/>
      <c r="AG327" s="256"/>
      <c r="AH327" s="256"/>
      <c r="AI327" s="256"/>
      <c r="AJ327" s="256"/>
      <c r="AK327" s="237"/>
      <c r="AL327" s="56"/>
      <c r="AM327" s="56"/>
      <c r="AN327" s="56"/>
      <c r="AO327" s="56"/>
      <c r="AP327" s="56"/>
      <c r="AQ327" s="56"/>
      <c r="AR327" s="56"/>
      <c r="AS327" s="56"/>
      <c r="AT327" s="56"/>
      <c r="AU327" s="56"/>
      <c r="AV327" s="56"/>
      <c r="AW327" s="56"/>
      <c r="AX327" s="56"/>
      <c r="AY327" s="208"/>
      <c r="AZ327" s="211"/>
    </row>
    <row r="328" ht="18" customHeight="1" hidden="1">
      <c r="A328" s="207"/>
      <c r="B328" s="208"/>
      <c r="C328" s="56"/>
      <c r="D328" s="56"/>
      <c r="E328" s="56"/>
      <c r="F328" s="56"/>
      <c r="G328" s="56"/>
      <c r="H328" s="56"/>
      <c r="I328" s="56"/>
      <c r="J328" s="56"/>
      <c r="K328" s="56"/>
      <c r="L328" s="256"/>
      <c r="M328" s="256"/>
      <c r="N328" s="256"/>
      <c r="O328" s="256"/>
      <c r="P328" s="256"/>
      <c r="Q328" s="256"/>
      <c r="R328" s="256"/>
      <c r="S328" s="208"/>
      <c r="T328" s="256"/>
      <c r="U328" s="256"/>
      <c r="V328" s="256"/>
      <c r="W328" s="256"/>
      <c r="X328" s="237"/>
      <c r="Y328" s="256"/>
      <c r="Z328" s="256"/>
      <c r="AA328" s="256"/>
      <c r="AB328" s="256"/>
      <c r="AC328" s="256"/>
      <c r="AD328" s="256"/>
      <c r="AE328" s="256"/>
      <c r="AF328" s="256"/>
      <c r="AG328" s="256"/>
      <c r="AH328" s="256"/>
      <c r="AI328" s="256"/>
      <c r="AJ328" s="256"/>
      <c r="AK328" s="237"/>
      <c r="AL328" s="56"/>
      <c r="AM328" s="56"/>
      <c r="AN328" s="56"/>
      <c r="AO328" s="56"/>
      <c r="AP328" s="56"/>
      <c r="AQ328" s="56"/>
      <c r="AR328" s="56"/>
      <c r="AS328" s="56"/>
      <c r="AT328" s="56"/>
      <c r="AU328" s="56"/>
      <c r="AV328" s="56"/>
      <c r="AW328" s="56"/>
      <c r="AX328" s="56"/>
      <c r="AY328" s="208"/>
      <c r="AZ328" s="211"/>
    </row>
    <row r="329" ht="18" customHeight="1" hidden="1">
      <c r="A329" s="207"/>
      <c r="B329" s="208"/>
      <c r="C329" s="56"/>
      <c r="D329" s="56"/>
      <c r="E329" s="56"/>
      <c r="F329" s="56"/>
      <c r="G329" s="56"/>
      <c r="H329" s="56"/>
      <c r="I329" s="56"/>
      <c r="J329" s="56"/>
      <c r="K329" s="56"/>
      <c r="L329" s="256"/>
      <c r="M329" s="256"/>
      <c r="N329" s="256"/>
      <c r="O329" s="256"/>
      <c r="P329" s="256"/>
      <c r="Q329" s="256"/>
      <c r="R329" s="256"/>
      <c r="S329" s="208"/>
      <c r="T329" s="256"/>
      <c r="U329" s="256"/>
      <c r="V329" s="256"/>
      <c r="W329" s="256"/>
      <c r="X329" s="237"/>
      <c r="Y329" s="256"/>
      <c r="Z329" s="256"/>
      <c r="AA329" s="256"/>
      <c r="AB329" s="256"/>
      <c r="AC329" s="256"/>
      <c r="AD329" s="256"/>
      <c r="AE329" s="256"/>
      <c r="AF329" s="256"/>
      <c r="AG329" s="256"/>
      <c r="AH329" s="256"/>
      <c r="AI329" s="256"/>
      <c r="AJ329" s="256"/>
      <c r="AK329" s="237"/>
      <c r="AL329" s="56"/>
      <c r="AM329" s="56"/>
      <c r="AN329" s="56"/>
      <c r="AO329" s="56"/>
      <c r="AP329" s="56"/>
      <c r="AQ329" s="56"/>
      <c r="AR329" s="56"/>
      <c r="AS329" s="56"/>
      <c r="AT329" s="56"/>
      <c r="AU329" s="56"/>
      <c r="AV329" s="56"/>
      <c r="AW329" s="56"/>
      <c r="AX329" s="56"/>
      <c r="AY329" s="208"/>
      <c r="AZ329" s="211"/>
    </row>
    <row r="330" ht="18" customHeight="1" hidden="1">
      <c r="A330" s="207"/>
      <c r="B330" s="208"/>
      <c r="C330" s="56"/>
      <c r="D330" s="56"/>
      <c r="E330" s="56"/>
      <c r="F330" s="56"/>
      <c r="G330" s="56"/>
      <c r="H330" s="56"/>
      <c r="I330" s="56"/>
      <c r="J330" s="56"/>
      <c r="K330" s="56"/>
      <c r="L330" s="256"/>
      <c r="M330" s="256"/>
      <c r="N330" s="256"/>
      <c r="O330" s="256"/>
      <c r="P330" s="256"/>
      <c r="Q330" s="256"/>
      <c r="R330" s="256"/>
      <c r="S330" s="208"/>
      <c r="T330" s="256"/>
      <c r="U330" s="256"/>
      <c r="V330" s="256"/>
      <c r="W330" s="256"/>
      <c r="X330" s="237"/>
      <c r="Y330" s="256"/>
      <c r="Z330" s="256"/>
      <c r="AA330" s="256"/>
      <c r="AB330" s="256"/>
      <c r="AC330" s="256"/>
      <c r="AD330" s="256"/>
      <c r="AE330" s="256"/>
      <c r="AF330" s="256"/>
      <c r="AG330" s="256"/>
      <c r="AH330" s="256"/>
      <c r="AI330" s="256"/>
      <c r="AJ330" s="256"/>
      <c r="AK330" s="237"/>
      <c r="AL330" s="56"/>
      <c r="AM330" s="56"/>
      <c r="AN330" s="56"/>
      <c r="AO330" s="56"/>
      <c r="AP330" s="56"/>
      <c r="AQ330" s="56"/>
      <c r="AR330" s="56"/>
      <c r="AS330" s="56"/>
      <c r="AT330" s="56"/>
      <c r="AU330" s="56"/>
      <c r="AV330" s="56"/>
      <c r="AW330" s="56"/>
      <c r="AX330" s="56"/>
      <c r="AY330" s="208"/>
      <c r="AZ330" s="211"/>
    </row>
    <row r="331" ht="18" customHeight="1" hidden="1">
      <c r="A331" s="207"/>
      <c r="B331" s="208"/>
      <c r="C331" s="56"/>
      <c r="D331" s="56"/>
      <c r="E331" s="56"/>
      <c r="F331" s="56"/>
      <c r="G331" s="56"/>
      <c r="H331" s="56"/>
      <c r="I331" s="56"/>
      <c r="J331" s="56"/>
      <c r="K331" s="56"/>
      <c r="L331" s="256"/>
      <c r="M331" s="256"/>
      <c r="N331" s="256"/>
      <c r="O331" s="256"/>
      <c r="P331" s="256"/>
      <c r="Q331" s="256"/>
      <c r="R331" s="256"/>
      <c r="S331" s="208"/>
      <c r="T331" s="256"/>
      <c r="U331" s="256"/>
      <c r="V331" s="256"/>
      <c r="W331" s="256"/>
      <c r="X331" s="237"/>
      <c r="Y331" s="256"/>
      <c r="Z331" s="256"/>
      <c r="AA331" s="256"/>
      <c r="AB331" s="256"/>
      <c r="AC331" s="256"/>
      <c r="AD331" s="256"/>
      <c r="AE331" s="256"/>
      <c r="AF331" s="256"/>
      <c r="AG331" s="256"/>
      <c r="AH331" s="256"/>
      <c r="AI331" s="256"/>
      <c r="AJ331" s="256"/>
      <c r="AK331" s="237"/>
      <c r="AL331" s="56"/>
      <c r="AM331" s="56"/>
      <c r="AN331" s="56"/>
      <c r="AO331" s="56"/>
      <c r="AP331" s="56"/>
      <c r="AQ331" s="56"/>
      <c r="AR331" s="56"/>
      <c r="AS331" s="56"/>
      <c r="AT331" s="56"/>
      <c r="AU331" s="56"/>
      <c r="AV331" s="56"/>
      <c r="AW331" s="56"/>
      <c r="AX331" s="56"/>
      <c r="AY331" s="208"/>
      <c r="AZ331" s="211"/>
    </row>
    <row r="332" ht="18" customHeight="1" hidden="1">
      <c r="A332" s="207"/>
      <c r="B332" s="208"/>
      <c r="C332" s="56"/>
      <c r="D332" s="56"/>
      <c r="E332" s="56"/>
      <c r="F332" s="56"/>
      <c r="G332" s="56"/>
      <c r="H332" s="56"/>
      <c r="I332" s="56"/>
      <c r="J332" s="56"/>
      <c r="K332" s="56"/>
      <c r="L332" s="256"/>
      <c r="M332" s="256"/>
      <c r="N332" s="256"/>
      <c r="O332" s="256"/>
      <c r="P332" s="256"/>
      <c r="Q332" s="256"/>
      <c r="R332" s="256"/>
      <c r="S332" s="208"/>
      <c r="T332" s="256"/>
      <c r="U332" s="256"/>
      <c r="V332" s="256"/>
      <c r="W332" s="256"/>
      <c r="X332" s="237"/>
      <c r="Y332" s="256"/>
      <c r="Z332" s="256"/>
      <c r="AA332" s="256"/>
      <c r="AB332" s="256"/>
      <c r="AC332" s="256"/>
      <c r="AD332" s="256"/>
      <c r="AE332" s="256"/>
      <c r="AF332" s="256"/>
      <c r="AG332" s="256"/>
      <c r="AH332" s="256"/>
      <c r="AI332" s="256"/>
      <c r="AJ332" s="256"/>
      <c r="AK332" s="237"/>
      <c r="AL332" s="56"/>
      <c r="AM332" s="56"/>
      <c r="AN332" s="56"/>
      <c r="AO332" s="56"/>
      <c r="AP332" s="56"/>
      <c r="AQ332" s="56"/>
      <c r="AR332" s="56"/>
      <c r="AS332" s="56"/>
      <c r="AT332" s="56"/>
      <c r="AU332" s="56"/>
      <c r="AV332" s="56"/>
      <c r="AW332" s="56"/>
      <c r="AX332" s="56"/>
      <c r="AY332" s="208"/>
      <c r="AZ332" s="211"/>
    </row>
    <row r="333" ht="18" customHeight="1" hidden="1">
      <c r="A333" s="207"/>
      <c r="B333" s="208"/>
      <c r="C333" s="56"/>
      <c r="D333" s="56"/>
      <c r="E333" s="56"/>
      <c r="F333" s="56"/>
      <c r="G333" s="56"/>
      <c r="H333" s="56"/>
      <c r="I333" s="56"/>
      <c r="J333" s="56"/>
      <c r="K333" s="56"/>
      <c r="L333" s="256"/>
      <c r="M333" s="256"/>
      <c r="N333" s="256"/>
      <c r="O333" s="256"/>
      <c r="P333" s="256"/>
      <c r="Q333" s="256"/>
      <c r="R333" s="256"/>
      <c r="S333" s="208"/>
      <c r="T333" s="256"/>
      <c r="U333" s="256"/>
      <c r="V333" s="256"/>
      <c r="W333" s="256"/>
      <c r="X333" s="237"/>
      <c r="Y333" s="256"/>
      <c r="Z333" s="256"/>
      <c r="AA333" s="256"/>
      <c r="AB333" s="256"/>
      <c r="AC333" s="256"/>
      <c r="AD333" s="256"/>
      <c r="AE333" s="256"/>
      <c r="AF333" s="256"/>
      <c r="AG333" s="256"/>
      <c r="AH333" s="256"/>
      <c r="AI333" s="256"/>
      <c r="AJ333" s="256"/>
      <c r="AK333" s="237"/>
      <c r="AL333" s="56"/>
      <c r="AM333" s="56"/>
      <c r="AN333" s="56"/>
      <c r="AO333" s="56"/>
      <c r="AP333" s="56"/>
      <c r="AQ333" s="56"/>
      <c r="AR333" s="56"/>
      <c r="AS333" s="56"/>
      <c r="AT333" s="56"/>
      <c r="AU333" s="56"/>
      <c r="AV333" s="56"/>
      <c r="AW333" s="56"/>
      <c r="AX333" s="56"/>
      <c r="AY333" s="208"/>
      <c r="AZ333" s="211"/>
    </row>
    <row r="334" ht="18" customHeight="1" hidden="1">
      <c r="A334" s="207"/>
      <c r="B334" s="208"/>
      <c r="C334" s="56"/>
      <c r="D334" s="56"/>
      <c r="E334" s="56"/>
      <c r="F334" s="56"/>
      <c r="G334" s="56"/>
      <c r="H334" s="56"/>
      <c r="I334" s="56"/>
      <c r="J334" s="56"/>
      <c r="K334" s="56"/>
      <c r="L334" s="256"/>
      <c r="M334" s="256"/>
      <c r="N334" s="256"/>
      <c r="O334" s="256"/>
      <c r="P334" s="256"/>
      <c r="Q334" s="256"/>
      <c r="R334" s="256"/>
      <c r="S334" s="208"/>
      <c r="T334" s="256"/>
      <c r="U334" s="256"/>
      <c r="V334" s="256"/>
      <c r="W334" s="256"/>
      <c r="X334" s="237"/>
      <c r="Y334" s="256"/>
      <c r="Z334" s="256"/>
      <c r="AA334" s="256"/>
      <c r="AB334" s="256"/>
      <c r="AC334" s="256"/>
      <c r="AD334" s="256"/>
      <c r="AE334" s="256"/>
      <c r="AF334" s="256"/>
      <c r="AG334" s="256"/>
      <c r="AH334" s="256"/>
      <c r="AI334" s="256"/>
      <c r="AJ334" s="256"/>
      <c r="AK334" s="237"/>
      <c r="AL334" s="56"/>
      <c r="AM334" s="56"/>
      <c r="AN334" s="56"/>
      <c r="AO334" s="56"/>
      <c r="AP334" s="56"/>
      <c r="AQ334" s="56"/>
      <c r="AR334" s="56"/>
      <c r="AS334" s="56"/>
      <c r="AT334" s="56"/>
      <c r="AU334" s="56"/>
      <c r="AV334" s="56"/>
      <c r="AW334" s="56"/>
      <c r="AX334" s="56"/>
      <c r="AY334" s="208"/>
      <c r="AZ334" s="211"/>
    </row>
    <row r="335" ht="18" customHeight="1" hidden="1">
      <c r="A335" s="207"/>
      <c r="B335" s="208"/>
      <c r="C335" s="56"/>
      <c r="D335" s="56"/>
      <c r="E335" s="56"/>
      <c r="F335" s="56"/>
      <c r="G335" s="56"/>
      <c r="H335" s="56"/>
      <c r="I335" s="56"/>
      <c r="J335" s="56"/>
      <c r="K335" s="56"/>
      <c r="L335" s="256"/>
      <c r="M335" s="256"/>
      <c r="N335" s="256"/>
      <c r="O335" s="256"/>
      <c r="P335" s="256"/>
      <c r="Q335" s="256"/>
      <c r="R335" s="256"/>
      <c r="S335" s="208"/>
      <c r="T335" s="256"/>
      <c r="U335" s="256"/>
      <c r="V335" s="256"/>
      <c r="W335" s="256"/>
      <c r="X335" s="237"/>
      <c r="Y335" s="256"/>
      <c r="Z335" s="256"/>
      <c r="AA335" s="256"/>
      <c r="AB335" s="256"/>
      <c r="AC335" s="256"/>
      <c r="AD335" s="256"/>
      <c r="AE335" s="256"/>
      <c r="AF335" s="256"/>
      <c r="AG335" s="256"/>
      <c r="AH335" s="256"/>
      <c r="AI335" s="256"/>
      <c r="AJ335" s="256"/>
      <c r="AK335" s="237"/>
      <c r="AL335" s="56"/>
      <c r="AM335" s="56"/>
      <c r="AN335" s="56"/>
      <c r="AO335" s="56"/>
      <c r="AP335" s="56"/>
      <c r="AQ335" s="56"/>
      <c r="AR335" s="56"/>
      <c r="AS335" s="56"/>
      <c r="AT335" s="56"/>
      <c r="AU335" s="56"/>
      <c r="AV335" s="56"/>
      <c r="AW335" s="56"/>
      <c r="AX335" s="56"/>
      <c r="AY335" s="208"/>
      <c r="AZ335" s="211"/>
    </row>
    <row r="336" ht="18" customHeight="1" hidden="1">
      <c r="A336" s="207"/>
      <c r="B336" s="208"/>
      <c r="C336" s="56"/>
      <c r="D336" s="56"/>
      <c r="E336" s="56"/>
      <c r="F336" s="56"/>
      <c r="G336" s="56"/>
      <c r="H336" s="56"/>
      <c r="I336" s="56"/>
      <c r="J336" s="56"/>
      <c r="K336" s="56"/>
      <c r="L336" s="256"/>
      <c r="M336" s="256"/>
      <c r="N336" s="256"/>
      <c r="O336" s="256"/>
      <c r="P336" s="256"/>
      <c r="Q336" s="256"/>
      <c r="R336" s="256"/>
      <c r="S336" s="208"/>
      <c r="T336" s="256"/>
      <c r="U336" s="256"/>
      <c r="V336" s="256"/>
      <c r="W336" s="256"/>
      <c r="X336" s="237"/>
      <c r="Y336" s="256"/>
      <c r="Z336" s="256"/>
      <c r="AA336" s="256"/>
      <c r="AB336" s="256"/>
      <c r="AC336" s="256"/>
      <c r="AD336" s="256"/>
      <c r="AE336" s="256"/>
      <c r="AF336" s="256"/>
      <c r="AG336" s="256"/>
      <c r="AH336" s="256"/>
      <c r="AI336" s="256"/>
      <c r="AJ336" s="256"/>
      <c r="AK336" s="237"/>
      <c r="AL336" s="56"/>
      <c r="AM336" s="56"/>
      <c r="AN336" s="56"/>
      <c r="AO336" s="56"/>
      <c r="AP336" s="56"/>
      <c r="AQ336" s="56"/>
      <c r="AR336" s="56"/>
      <c r="AS336" s="56"/>
      <c r="AT336" s="56"/>
      <c r="AU336" s="56"/>
      <c r="AV336" s="56"/>
      <c r="AW336" s="56"/>
      <c r="AX336" s="56"/>
      <c r="AY336" s="208"/>
      <c r="AZ336" s="211"/>
    </row>
    <row r="337" ht="18" customHeight="1" hidden="1">
      <c r="A337" s="207"/>
      <c r="B337" s="208"/>
      <c r="C337" s="56"/>
      <c r="D337" s="56"/>
      <c r="E337" s="56"/>
      <c r="F337" s="56"/>
      <c r="G337" s="56"/>
      <c r="H337" s="56"/>
      <c r="I337" s="56"/>
      <c r="J337" s="56"/>
      <c r="K337" s="56"/>
      <c r="L337" s="256"/>
      <c r="M337" s="256"/>
      <c r="N337" s="256"/>
      <c r="O337" s="256"/>
      <c r="P337" s="256"/>
      <c r="Q337" s="256"/>
      <c r="R337" s="256"/>
      <c r="S337" s="208"/>
      <c r="T337" s="256"/>
      <c r="U337" s="256"/>
      <c r="V337" s="256"/>
      <c r="W337" s="256"/>
      <c r="X337" s="237"/>
      <c r="Y337" s="256"/>
      <c r="Z337" s="256"/>
      <c r="AA337" s="256"/>
      <c r="AB337" s="256"/>
      <c r="AC337" s="256"/>
      <c r="AD337" s="256"/>
      <c r="AE337" s="256"/>
      <c r="AF337" s="256"/>
      <c r="AG337" s="256"/>
      <c r="AH337" s="256"/>
      <c r="AI337" s="256"/>
      <c r="AJ337" s="256"/>
      <c r="AK337" s="237"/>
      <c r="AL337" s="56"/>
      <c r="AM337" s="56"/>
      <c r="AN337" s="56"/>
      <c r="AO337" s="56"/>
      <c r="AP337" s="56"/>
      <c r="AQ337" s="56"/>
      <c r="AR337" s="56"/>
      <c r="AS337" s="56"/>
      <c r="AT337" s="56"/>
      <c r="AU337" s="56"/>
      <c r="AV337" s="56"/>
      <c r="AW337" s="56"/>
      <c r="AX337" s="56"/>
      <c r="AY337" s="208"/>
      <c r="AZ337" s="211"/>
    </row>
    <row r="338" ht="18" customHeight="1" hidden="1">
      <c r="A338" s="207"/>
      <c r="B338" s="208"/>
      <c r="C338" s="56"/>
      <c r="D338" s="56"/>
      <c r="E338" s="56"/>
      <c r="F338" s="56"/>
      <c r="G338" s="56"/>
      <c r="H338" s="56"/>
      <c r="I338" s="56"/>
      <c r="J338" s="56"/>
      <c r="K338" s="56"/>
      <c r="L338" s="256"/>
      <c r="M338" s="256"/>
      <c r="N338" s="256"/>
      <c r="O338" s="256"/>
      <c r="P338" s="256"/>
      <c r="Q338" s="256"/>
      <c r="R338" s="256"/>
      <c r="S338" s="208"/>
      <c r="T338" s="256"/>
      <c r="U338" s="256"/>
      <c r="V338" s="256"/>
      <c r="W338" s="256"/>
      <c r="X338" s="237"/>
      <c r="Y338" s="256"/>
      <c r="Z338" s="256"/>
      <c r="AA338" s="256"/>
      <c r="AB338" s="256"/>
      <c r="AC338" s="256"/>
      <c r="AD338" s="256"/>
      <c r="AE338" s="256"/>
      <c r="AF338" s="256"/>
      <c r="AG338" s="256"/>
      <c r="AH338" s="256"/>
      <c r="AI338" s="256"/>
      <c r="AJ338" s="256"/>
      <c r="AK338" s="237"/>
      <c r="AL338" s="56"/>
      <c r="AM338" s="56"/>
      <c r="AN338" s="56"/>
      <c r="AO338" s="56"/>
      <c r="AP338" s="56"/>
      <c r="AQ338" s="56"/>
      <c r="AR338" s="56"/>
      <c r="AS338" s="56"/>
      <c r="AT338" s="56"/>
      <c r="AU338" s="56"/>
      <c r="AV338" s="56"/>
      <c r="AW338" s="56"/>
      <c r="AX338" s="56"/>
      <c r="AY338" s="208"/>
      <c r="AZ338" s="211"/>
    </row>
    <row r="339" ht="18" customHeight="1" hidden="1">
      <c r="A339" s="207"/>
      <c r="B339" s="208"/>
      <c r="C339" s="56"/>
      <c r="D339" s="56"/>
      <c r="E339" s="56"/>
      <c r="F339" s="56"/>
      <c r="G339" s="56"/>
      <c r="H339" s="56"/>
      <c r="I339" s="56"/>
      <c r="J339" s="56"/>
      <c r="K339" s="56"/>
      <c r="L339" s="256"/>
      <c r="M339" s="256"/>
      <c r="N339" s="256"/>
      <c r="O339" s="256"/>
      <c r="P339" s="256"/>
      <c r="Q339" s="256"/>
      <c r="R339" s="256"/>
      <c r="S339" s="208"/>
      <c r="T339" s="256"/>
      <c r="U339" s="256"/>
      <c r="V339" s="256"/>
      <c r="W339" s="256"/>
      <c r="X339" s="237"/>
      <c r="Y339" s="256"/>
      <c r="Z339" s="256"/>
      <c r="AA339" s="256"/>
      <c r="AB339" s="256"/>
      <c r="AC339" s="256"/>
      <c r="AD339" s="256"/>
      <c r="AE339" s="256"/>
      <c r="AF339" s="256"/>
      <c r="AG339" s="256"/>
      <c r="AH339" s="256"/>
      <c r="AI339" s="256"/>
      <c r="AJ339" s="256"/>
      <c r="AK339" s="237"/>
      <c r="AL339" s="56"/>
      <c r="AM339" s="56"/>
      <c r="AN339" s="56"/>
      <c r="AO339" s="56"/>
      <c r="AP339" s="56"/>
      <c r="AQ339" s="56"/>
      <c r="AR339" s="56"/>
      <c r="AS339" s="56"/>
      <c r="AT339" s="56"/>
      <c r="AU339" s="56"/>
      <c r="AV339" s="56"/>
      <c r="AW339" s="56"/>
      <c r="AX339" s="56"/>
      <c r="AY339" s="208"/>
      <c r="AZ339" s="211"/>
    </row>
    <row r="340" ht="18" customHeight="1" hidden="1">
      <c r="A340" s="207"/>
      <c r="B340" s="208"/>
      <c r="C340" s="56"/>
      <c r="D340" s="56"/>
      <c r="E340" s="56"/>
      <c r="F340" s="56"/>
      <c r="G340" s="56"/>
      <c r="H340" s="56"/>
      <c r="I340" s="56"/>
      <c r="J340" s="56"/>
      <c r="K340" s="56"/>
      <c r="L340" s="256"/>
      <c r="M340" s="256"/>
      <c r="N340" s="256"/>
      <c r="O340" s="256"/>
      <c r="P340" s="256"/>
      <c r="Q340" s="256"/>
      <c r="R340" s="256"/>
      <c r="S340" s="208"/>
      <c r="T340" s="256"/>
      <c r="U340" s="256"/>
      <c r="V340" s="256"/>
      <c r="W340" s="256"/>
      <c r="X340" s="237"/>
      <c r="Y340" s="256"/>
      <c r="Z340" s="256"/>
      <c r="AA340" s="256"/>
      <c r="AB340" s="256"/>
      <c r="AC340" s="256"/>
      <c r="AD340" s="256"/>
      <c r="AE340" s="256"/>
      <c r="AF340" s="256"/>
      <c r="AG340" s="256"/>
      <c r="AH340" s="256"/>
      <c r="AI340" s="256"/>
      <c r="AJ340" s="256"/>
      <c r="AK340" s="237"/>
      <c r="AL340" s="56"/>
      <c r="AM340" s="56"/>
      <c r="AN340" s="56"/>
      <c r="AO340" s="56"/>
      <c r="AP340" s="56"/>
      <c r="AQ340" s="56"/>
      <c r="AR340" s="56"/>
      <c r="AS340" s="56"/>
      <c r="AT340" s="56"/>
      <c r="AU340" s="56"/>
      <c r="AV340" s="56"/>
      <c r="AW340" s="56"/>
      <c r="AX340" s="56"/>
      <c r="AY340" s="208"/>
      <c r="AZ340" s="211"/>
    </row>
    <row r="341" ht="18" customHeight="1" hidden="1">
      <c r="A341" s="207"/>
      <c r="B341" s="208"/>
      <c r="C341" s="56"/>
      <c r="D341" s="56"/>
      <c r="E341" s="56"/>
      <c r="F341" s="56"/>
      <c r="G341" s="56"/>
      <c r="H341" s="56"/>
      <c r="I341" s="56"/>
      <c r="J341" s="56"/>
      <c r="K341" s="56"/>
      <c r="L341" s="256"/>
      <c r="M341" s="256"/>
      <c r="N341" s="256"/>
      <c r="O341" s="256"/>
      <c r="P341" s="256"/>
      <c r="Q341" s="256"/>
      <c r="R341" s="256"/>
      <c r="S341" s="208"/>
      <c r="T341" s="256"/>
      <c r="U341" s="256"/>
      <c r="V341" s="256"/>
      <c r="W341" s="256"/>
      <c r="X341" s="237"/>
      <c r="Y341" s="256"/>
      <c r="Z341" s="256"/>
      <c r="AA341" s="256"/>
      <c r="AB341" s="256"/>
      <c r="AC341" s="256"/>
      <c r="AD341" s="256"/>
      <c r="AE341" s="256"/>
      <c r="AF341" s="256"/>
      <c r="AG341" s="256"/>
      <c r="AH341" s="256"/>
      <c r="AI341" s="256"/>
      <c r="AJ341" s="256"/>
      <c r="AK341" s="237"/>
      <c r="AL341" s="56"/>
      <c r="AM341" s="56"/>
      <c r="AN341" s="56"/>
      <c r="AO341" s="56"/>
      <c r="AP341" s="56"/>
      <c r="AQ341" s="56"/>
      <c r="AR341" s="56"/>
      <c r="AS341" s="56"/>
      <c r="AT341" s="56"/>
      <c r="AU341" s="56"/>
      <c r="AV341" s="56"/>
      <c r="AW341" s="56"/>
      <c r="AX341" s="56"/>
      <c r="AY341" s="208"/>
      <c r="AZ341" s="211"/>
    </row>
    <row r="342" ht="18" customHeight="1" hidden="1">
      <c r="A342" s="207"/>
      <c r="B342" s="208"/>
      <c r="C342" s="56"/>
      <c r="D342" s="56"/>
      <c r="E342" s="56"/>
      <c r="F342" s="56"/>
      <c r="G342" s="56"/>
      <c r="H342" s="56"/>
      <c r="I342" s="56"/>
      <c r="J342" s="56"/>
      <c r="K342" s="56"/>
      <c r="L342" s="256"/>
      <c r="M342" s="256"/>
      <c r="N342" s="256"/>
      <c r="O342" s="256"/>
      <c r="P342" s="256"/>
      <c r="Q342" s="256"/>
      <c r="R342" s="256"/>
      <c r="S342" s="208"/>
      <c r="T342" s="256"/>
      <c r="U342" s="256"/>
      <c r="V342" s="256"/>
      <c r="W342" s="256"/>
      <c r="X342" s="237"/>
      <c r="Y342" s="256"/>
      <c r="Z342" s="256"/>
      <c r="AA342" s="256"/>
      <c r="AB342" s="256"/>
      <c r="AC342" s="256"/>
      <c r="AD342" s="256"/>
      <c r="AE342" s="256"/>
      <c r="AF342" s="256"/>
      <c r="AG342" s="256"/>
      <c r="AH342" s="256"/>
      <c r="AI342" s="256"/>
      <c r="AJ342" s="256"/>
      <c r="AK342" s="237"/>
      <c r="AL342" s="56"/>
      <c r="AM342" s="56"/>
      <c r="AN342" s="56"/>
      <c r="AO342" s="56"/>
      <c r="AP342" s="56"/>
      <c r="AQ342" s="56"/>
      <c r="AR342" s="56"/>
      <c r="AS342" s="56"/>
      <c r="AT342" s="56"/>
      <c r="AU342" s="56"/>
      <c r="AV342" s="56"/>
      <c r="AW342" s="56"/>
      <c r="AX342" s="56"/>
      <c r="AY342" s="208"/>
      <c r="AZ342" s="211"/>
    </row>
    <row r="343" ht="18" customHeight="1" hidden="1">
      <c r="A343" s="207"/>
      <c r="B343" s="208"/>
      <c r="C343" s="56"/>
      <c r="D343" s="56"/>
      <c r="E343" s="56"/>
      <c r="F343" s="56"/>
      <c r="G343" s="56"/>
      <c r="H343" s="56"/>
      <c r="I343" s="56"/>
      <c r="J343" s="56"/>
      <c r="K343" s="56"/>
      <c r="L343" s="256"/>
      <c r="M343" s="256"/>
      <c r="N343" s="256"/>
      <c r="O343" s="256"/>
      <c r="P343" s="256"/>
      <c r="Q343" s="256"/>
      <c r="R343" s="256"/>
      <c r="S343" s="208"/>
      <c r="T343" s="256"/>
      <c r="U343" s="256"/>
      <c r="V343" s="256"/>
      <c r="W343" s="256"/>
      <c r="X343" s="237"/>
      <c r="Y343" s="256"/>
      <c r="Z343" s="256"/>
      <c r="AA343" s="256"/>
      <c r="AB343" s="256"/>
      <c r="AC343" s="256"/>
      <c r="AD343" s="256"/>
      <c r="AE343" s="256"/>
      <c r="AF343" s="256"/>
      <c r="AG343" s="256"/>
      <c r="AH343" s="256"/>
      <c r="AI343" s="256"/>
      <c r="AJ343" s="256"/>
      <c r="AK343" s="237"/>
      <c r="AL343" s="56"/>
      <c r="AM343" s="56"/>
      <c r="AN343" s="56"/>
      <c r="AO343" s="56"/>
      <c r="AP343" s="56"/>
      <c r="AQ343" s="56"/>
      <c r="AR343" s="56"/>
      <c r="AS343" s="56"/>
      <c r="AT343" s="56"/>
      <c r="AU343" s="56"/>
      <c r="AV343" s="56"/>
      <c r="AW343" s="56"/>
      <c r="AX343" s="56"/>
      <c r="AY343" s="208"/>
      <c r="AZ343" s="211"/>
    </row>
    <row r="344" ht="18" customHeight="1" hidden="1">
      <c r="A344" s="207"/>
      <c r="B344" s="208"/>
      <c r="C344" s="56"/>
      <c r="D344" s="56"/>
      <c r="E344" s="56"/>
      <c r="F344" s="56"/>
      <c r="G344" s="56"/>
      <c r="H344" s="56"/>
      <c r="I344" s="56"/>
      <c r="J344" s="56"/>
      <c r="K344" s="56"/>
      <c r="L344" s="256"/>
      <c r="M344" s="256"/>
      <c r="N344" s="256"/>
      <c r="O344" s="256"/>
      <c r="P344" s="256"/>
      <c r="Q344" s="256"/>
      <c r="R344" s="256"/>
      <c r="S344" s="208"/>
      <c r="T344" s="256"/>
      <c r="U344" s="256"/>
      <c r="V344" s="256"/>
      <c r="W344" s="256"/>
      <c r="X344" s="237"/>
      <c r="Y344" s="256"/>
      <c r="Z344" s="256"/>
      <c r="AA344" s="256"/>
      <c r="AB344" s="256"/>
      <c r="AC344" s="256"/>
      <c r="AD344" s="256"/>
      <c r="AE344" s="256"/>
      <c r="AF344" s="256"/>
      <c r="AG344" s="256"/>
      <c r="AH344" s="256"/>
      <c r="AI344" s="256"/>
      <c r="AJ344" s="256"/>
      <c r="AK344" s="237"/>
      <c r="AL344" s="56"/>
      <c r="AM344" s="56"/>
      <c r="AN344" s="56"/>
      <c r="AO344" s="56"/>
      <c r="AP344" s="56"/>
      <c r="AQ344" s="56"/>
      <c r="AR344" s="56"/>
      <c r="AS344" s="56"/>
      <c r="AT344" s="56"/>
      <c r="AU344" s="56"/>
      <c r="AV344" s="56"/>
      <c r="AW344" s="56"/>
      <c r="AX344" s="56"/>
      <c r="AY344" s="208"/>
      <c r="AZ344" s="211"/>
    </row>
    <row r="345" ht="18" customHeight="1" hidden="1">
      <c r="A345" s="207"/>
      <c r="B345" s="208"/>
      <c r="C345" s="56"/>
      <c r="D345" s="56"/>
      <c r="E345" s="56"/>
      <c r="F345" s="56"/>
      <c r="G345" s="56"/>
      <c r="H345" s="56"/>
      <c r="I345" s="56"/>
      <c r="J345" s="56"/>
      <c r="K345" s="56"/>
      <c r="L345" s="256"/>
      <c r="M345" s="256"/>
      <c r="N345" s="256"/>
      <c r="O345" s="256"/>
      <c r="P345" s="256"/>
      <c r="Q345" s="256"/>
      <c r="R345" s="256"/>
      <c r="S345" s="208"/>
      <c r="T345" s="256"/>
      <c r="U345" s="256"/>
      <c r="V345" s="256"/>
      <c r="W345" s="256"/>
      <c r="X345" s="237"/>
      <c r="Y345" s="256"/>
      <c r="Z345" s="256"/>
      <c r="AA345" s="256"/>
      <c r="AB345" s="256"/>
      <c r="AC345" s="256"/>
      <c r="AD345" s="256"/>
      <c r="AE345" s="256"/>
      <c r="AF345" s="256"/>
      <c r="AG345" s="256"/>
      <c r="AH345" s="256"/>
      <c r="AI345" s="256"/>
      <c r="AJ345" s="256"/>
      <c r="AK345" s="237"/>
      <c r="AL345" s="56"/>
      <c r="AM345" s="56"/>
      <c r="AN345" s="56"/>
      <c r="AO345" s="56"/>
      <c r="AP345" s="56"/>
      <c r="AQ345" s="56"/>
      <c r="AR345" s="56"/>
      <c r="AS345" s="56"/>
      <c r="AT345" s="56"/>
      <c r="AU345" s="56"/>
      <c r="AV345" s="56"/>
      <c r="AW345" s="56"/>
      <c r="AX345" s="56"/>
      <c r="AY345" s="208"/>
      <c r="AZ345" s="211"/>
    </row>
    <row r="346" ht="18" customHeight="1" hidden="1">
      <c r="A346" s="207"/>
      <c r="B346" s="208"/>
      <c r="C346" s="56"/>
      <c r="D346" s="56"/>
      <c r="E346" s="56"/>
      <c r="F346" s="56"/>
      <c r="G346" s="56"/>
      <c r="H346" s="56"/>
      <c r="I346" s="56"/>
      <c r="J346" s="56"/>
      <c r="K346" s="56"/>
      <c r="L346" s="256"/>
      <c r="M346" s="256"/>
      <c r="N346" s="256"/>
      <c r="O346" s="256"/>
      <c r="P346" s="256"/>
      <c r="Q346" s="256"/>
      <c r="R346" s="256"/>
      <c r="S346" s="208"/>
      <c r="T346" s="256"/>
      <c r="U346" s="256"/>
      <c r="V346" s="256"/>
      <c r="W346" s="256"/>
      <c r="X346" s="237"/>
      <c r="Y346" s="256"/>
      <c r="Z346" s="256"/>
      <c r="AA346" s="256"/>
      <c r="AB346" s="256"/>
      <c r="AC346" s="256"/>
      <c r="AD346" s="256"/>
      <c r="AE346" s="256"/>
      <c r="AF346" s="256"/>
      <c r="AG346" s="256"/>
      <c r="AH346" s="256"/>
      <c r="AI346" s="256"/>
      <c r="AJ346" s="256"/>
      <c r="AK346" s="237"/>
      <c r="AL346" s="56"/>
      <c r="AM346" s="56"/>
      <c r="AN346" s="56"/>
      <c r="AO346" s="56"/>
      <c r="AP346" s="56"/>
      <c r="AQ346" s="56"/>
      <c r="AR346" s="56"/>
      <c r="AS346" s="56"/>
      <c r="AT346" s="56"/>
      <c r="AU346" s="56"/>
      <c r="AV346" s="56"/>
      <c r="AW346" s="56"/>
      <c r="AX346" s="56"/>
      <c r="AY346" s="208"/>
      <c r="AZ346" s="211"/>
    </row>
    <row r="347" ht="18" customHeight="1" hidden="1">
      <c r="A347" s="207"/>
      <c r="B347" s="208"/>
      <c r="C347" s="56"/>
      <c r="D347" s="56"/>
      <c r="E347" s="56"/>
      <c r="F347" s="56"/>
      <c r="G347" s="56"/>
      <c r="H347" s="56"/>
      <c r="I347" s="56"/>
      <c r="J347" s="56"/>
      <c r="K347" s="56"/>
      <c r="L347" s="256"/>
      <c r="M347" s="256"/>
      <c r="N347" s="256"/>
      <c r="O347" s="256"/>
      <c r="P347" s="256"/>
      <c r="Q347" s="256"/>
      <c r="R347" s="256"/>
      <c r="S347" s="208"/>
      <c r="T347" s="256"/>
      <c r="U347" s="256"/>
      <c r="V347" s="256"/>
      <c r="W347" s="256"/>
      <c r="X347" s="237"/>
      <c r="Y347" s="256"/>
      <c r="Z347" s="256"/>
      <c r="AA347" s="256"/>
      <c r="AB347" s="256"/>
      <c r="AC347" s="256"/>
      <c r="AD347" s="256"/>
      <c r="AE347" s="256"/>
      <c r="AF347" s="256"/>
      <c r="AG347" s="256"/>
      <c r="AH347" s="256"/>
      <c r="AI347" s="256"/>
      <c r="AJ347" s="256"/>
      <c r="AK347" s="237"/>
      <c r="AL347" s="56"/>
      <c r="AM347" s="56"/>
      <c r="AN347" s="56"/>
      <c r="AO347" s="56"/>
      <c r="AP347" s="56"/>
      <c r="AQ347" s="56"/>
      <c r="AR347" s="56"/>
      <c r="AS347" s="56"/>
      <c r="AT347" s="56"/>
      <c r="AU347" s="56"/>
      <c r="AV347" s="56"/>
      <c r="AW347" s="56"/>
      <c r="AX347" s="56"/>
      <c r="AY347" s="208"/>
      <c r="AZ347" s="211"/>
    </row>
    <row r="348" ht="18" customHeight="1" hidden="1">
      <c r="A348" s="207"/>
      <c r="B348" s="208"/>
      <c r="C348" s="56"/>
      <c r="D348" s="56"/>
      <c r="E348" s="56"/>
      <c r="F348" s="56"/>
      <c r="G348" s="56"/>
      <c r="H348" s="56"/>
      <c r="I348" s="56"/>
      <c r="J348" s="56"/>
      <c r="K348" s="56"/>
      <c r="L348" s="256"/>
      <c r="M348" s="256"/>
      <c r="N348" s="256"/>
      <c r="O348" s="256"/>
      <c r="P348" s="256"/>
      <c r="Q348" s="256"/>
      <c r="R348" s="256"/>
      <c r="S348" s="208"/>
      <c r="T348" s="256"/>
      <c r="U348" s="256"/>
      <c r="V348" s="256"/>
      <c r="W348" s="256"/>
      <c r="X348" s="237"/>
      <c r="Y348" s="256"/>
      <c r="Z348" s="256"/>
      <c r="AA348" s="256"/>
      <c r="AB348" s="256"/>
      <c r="AC348" s="256"/>
      <c r="AD348" s="256"/>
      <c r="AE348" s="256"/>
      <c r="AF348" s="256"/>
      <c r="AG348" s="256"/>
      <c r="AH348" s="256"/>
      <c r="AI348" s="256"/>
      <c r="AJ348" s="256"/>
      <c r="AK348" s="237"/>
      <c r="AL348" s="56"/>
      <c r="AM348" s="56"/>
      <c r="AN348" s="56"/>
      <c r="AO348" s="56"/>
      <c r="AP348" s="56"/>
      <c r="AQ348" s="56"/>
      <c r="AR348" s="56"/>
      <c r="AS348" s="56"/>
      <c r="AT348" s="56"/>
      <c r="AU348" s="56"/>
      <c r="AV348" s="56"/>
      <c r="AW348" s="56"/>
      <c r="AX348" s="56"/>
      <c r="AY348" s="208"/>
      <c r="AZ348" s="211"/>
    </row>
    <row r="349" ht="18" customHeight="1" hidden="1">
      <c r="A349" s="207"/>
      <c r="B349" s="208"/>
      <c r="C349" s="56"/>
      <c r="D349" s="56"/>
      <c r="E349" s="56"/>
      <c r="F349" s="56"/>
      <c r="G349" s="56"/>
      <c r="H349" s="56"/>
      <c r="I349" s="56"/>
      <c r="J349" s="56"/>
      <c r="K349" s="56"/>
      <c r="L349" s="256"/>
      <c r="M349" s="256"/>
      <c r="N349" s="256"/>
      <c r="O349" s="256"/>
      <c r="P349" s="256"/>
      <c r="Q349" s="256"/>
      <c r="R349" s="256"/>
      <c r="S349" s="208"/>
      <c r="T349" s="256"/>
      <c r="U349" s="256"/>
      <c r="V349" s="256"/>
      <c r="W349" s="256"/>
      <c r="X349" s="237"/>
      <c r="Y349" s="256"/>
      <c r="Z349" s="256"/>
      <c r="AA349" s="256"/>
      <c r="AB349" s="256"/>
      <c r="AC349" s="256"/>
      <c r="AD349" s="256"/>
      <c r="AE349" s="256"/>
      <c r="AF349" s="256"/>
      <c r="AG349" s="256"/>
      <c r="AH349" s="256"/>
      <c r="AI349" s="256"/>
      <c r="AJ349" s="256"/>
      <c r="AK349" s="237"/>
      <c r="AL349" s="56"/>
      <c r="AM349" s="56"/>
      <c r="AN349" s="56"/>
      <c r="AO349" s="56"/>
      <c r="AP349" s="56"/>
      <c r="AQ349" s="56"/>
      <c r="AR349" s="56"/>
      <c r="AS349" s="56"/>
      <c r="AT349" s="56"/>
      <c r="AU349" s="56"/>
      <c r="AV349" s="56"/>
      <c r="AW349" s="56"/>
      <c r="AX349" s="56"/>
      <c r="AY349" s="208"/>
      <c r="AZ349" s="211"/>
    </row>
    <row r="350" ht="18" customHeight="1" hidden="1">
      <c r="A350" s="207"/>
      <c r="B350" s="208"/>
      <c r="C350" s="56"/>
      <c r="D350" s="56"/>
      <c r="E350" s="56"/>
      <c r="F350" s="56"/>
      <c r="G350" s="56"/>
      <c r="H350" s="56"/>
      <c r="I350" s="56"/>
      <c r="J350" s="56"/>
      <c r="K350" s="56"/>
      <c r="L350" s="256"/>
      <c r="M350" s="256"/>
      <c r="N350" s="256"/>
      <c r="O350" s="256"/>
      <c r="P350" s="256"/>
      <c r="Q350" s="256"/>
      <c r="R350" s="256"/>
      <c r="S350" s="208"/>
      <c r="T350" s="256"/>
      <c r="U350" s="256"/>
      <c r="V350" s="256"/>
      <c r="W350" s="256"/>
      <c r="X350" s="237"/>
      <c r="Y350" s="256"/>
      <c r="Z350" s="256"/>
      <c r="AA350" s="256"/>
      <c r="AB350" s="256"/>
      <c r="AC350" s="256"/>
      <c r="AD350" s="256"/>
      <c r="AE350" s="256"/>
      <c r="AF350" s="256"/>
      <c r="AG350" s="256"/>
      <c r="AH350" s="256"/>
      <c r="AI350" s="256"/>
      <c r="AJ350" s="256"/>
      <c r="AK350" s="237"/>
      <c r="AL350" s="56"/>
      <c r="AM350" s="56"/>
      <c r="AN350" s="56"/>
      <c r="AO350" s="56"/>
      <c r="AP350" s="56"/>
      <c r="AQ350" s="56"/>
      <c r="AR350" s="56"/>
      <c r="AS350" s="56"/>
      <c r="AT350" s="56"/>
      <c r="AU350" s="56"/>
      <c r="AV350" s="56"/>
      <c r="AW350" s="56"/>
      <c r="AX350" s="56"/>
      <c r="AY350" s="208"/>
      <c r="AZ350" s="211"/>
    </row>
    <row r="351" ht="18" customHeight="1" hidden="1">
      <c r="A351" s="207"/>
      <c r="B351" s="208"/>
      <c r="C351" s="56"/>
      <c r="D351" s="56"/>
      <c r="E351" s="56"/>
      <c r="F351" s="56"/>
      <c r="G351" s="56"/>
      <c r="H351" s="56"/>
      <c r="I351" s="56"/>
      <c r="J351" s="56"/>
      <c r="K351" s="56"/>
      <c r="L351" s="256"/>
      <c r="M351" s="256"/>
      <c r="N351" s="256"/>
      <c r="O351" s="256"/>
      <c r="P351" s="256"/>
      <c r="Q351" s="256"/>
      <c r="R351" s="256"/>
      <c r="S351" s="208"/>
      <c r="T351" s="256"/>
      <c r="U351" s="256"/>
      <c r="V351" s="256"/>
      <c r="W351" s="256"/>
      <c r="X351" s="237"/>
      <c r="Y351" s="256"/>
      <c r="Z351" s="256"/>
      <c r="AA351" s="256"/>
      <c r="AB351" s="256"/>
      <c r="AC351" s="256"/>
      <c r="AD351" s="256"/>
      <c r="AE351" s="256"/>
      <c r="AF351" s="256"/>
      <c r="AG351" s="256"/>
      <c r="AH351" s="256"/>
      <c r="AI351" s="256"/>
      <c r="AJ351" s="256"/>
      <c r="AK351" s="237"/>
      <c r="AL351" s="56"/>
      <c r="AM351" s="56"/>
      <c r="AN351" s="56"/>
      <c r="AO351" s="56"/>
      <c r="AP351" s="56"/>
      <c r="AQ351" s="56"/>
      <c r="AR351" s="56"/>
      <c r="AS351" s="56"/>
      <c r="AT351" s="56"/>
      <c r="AU351" s="56"/>
      <c r="AV351" s="56"/>
      <c r="AW351" s="56"/>
      <c r="AX351" s="56"/>
      <c r="AY351" s="208"/>
      <c r="AZ351" s="211"/>
    </row>
    <row r="352" ht="18" customHeight="1" hidden="1">
      <c r="A352" s="207"/>
      <c r="B352" s="208"/>
      <c r="C352" s="56"/>
      <c r="D352" s="56"/>
      <c r="E352" s="56"/>
      <c r="F352" s="56"/>
      <c r="G352" s="56"/>
      <c r="H352" s="56"/>
      <c r="I352" s="56"/>
      <c r="J352" s="56"/>
      <c r="K352" s="56"/>
      <c r="L352" s="256"/>
      <c r="M352" s="256"/>
      <c r="N352" s="256"/>
      <c r="O352" s="256"/>
      <c r="P352" s="256"/>
      <c r="Q352" s="256"/>
      <c r="R352" s="256"/>
      <c r="S352" s="208"/>
      <c r="T352" s="256"/>
      <c r="U352" s="256"/>
      <c r="V352" s="256"/>
      <c r="W352" s="256"/>
      <c r="X352" s="237"/>
      <c r="Y352" s="256"/>
      <c r="Z352" s="256"/>
      <c r="AA352" s="256"/>
      <c r="AB352" s="256"/>
      <c r="AC352" s="256"/>
      <c r="AD352" s="256"/>
      <c r="AE352" s="256"/>
      <c r="AF352" s="256"/>
      <c r="AG352" s="256"/>
      <c r="AH352" s="256"/>
      <c r="AI352" s="256"/>
      <c r="AJ352" s="256"/>
      <c r="AK352" s="237"/>
      <c r="AL352" s="56"/>
      <c r="AM352" s="56"/>
      <c r="AN352" s="56"/>
      <c r="AO352" s="56"/>
      <c r="AP352" s="56"/>
      <c r="AQ352" s="56"/>
      <c r="AR352" s="56"/>
      <c r="AS352" s="56"/>
      <c r="AT352" s="56"/>
      <c r="AU352" s="56"/>
      <c r="AV352" s="56"/>
      <c r="AW352" s="56"/>
      <c r="AX352" s="56"/>
      <c r="AY352" s="208"/>
      <c r="AZ352" s="211"/>
    </row>
    <row r="353" ht="18" customHeight="1" hidden="1">
      <c r="A353" s="207"/>
      <c r="B353" s="208"/>
      <c r="C353" s="56"/>
      <c r="D353" s="56"/>
      <c r="E353" s="56"/>
      <c r="F353" s="56"/>
      <c r="G353" s="56"/>
      <c r="H353" s="56"/>
      <c r="I353" s="56"/>
      <c r="J353" s="56"/>
      <c r="K353" s="56"/>
      <c r="L353" s="256"/>
      <c r="M353" s="256"/>
      <c r="N353" s="256"/>
      <c r="O353" s="256"/>
      <c r="P353" s="256"/>
      <c r="Q353" s="256"/>
      <c r="R353" s="256"/>
      <c r="S353" s="208"/>
      <c r="T353" s="256"/>
      <c r="U353" s="256"/>
      <c r="V353" s="256"/>
      <c r="W353" s="256"/>
      <c r="X353" s="237"/>
      <c r="Y353" s="256"/>
      <c r="Z353" s="256"/>
      <c r="AA353" s="256"/>
      <c r="AB353" s="256"/>
      <c r="AC353" s="256"/>
      <c r="AD353" s="256"/>
      <c r="AE353" s="256"/>
      <c r="AF353" s="256"/>
      <c r="AG353" s="256"/>
      <c r="AH353" s="256"/>
      <c r="AI353" s="256"/>
      <c r="AJ353" s="256"/>
      <c r="AK353" s="237"/>
      <c r="AL353" s="56"/>
      <c r="AM353" s="56"/>
      <c r="AN353" s="56"/>
      <c r="AO353" s="56"/>
      <c r="AP353" s="56"/>
      <c r="AQ353" s="56"/>
      <c r="AR353" s="56"/>
      <c r="AS353" s="56"/>
      <c r="AT353" s="56"/>
      <c r="AU353" s="56"/>
      <c r="AV353" s="56"/>
      <c r="AW353" s="56"/>
      <c r="AX353" s="56"/>
      <c r="AY353" s="208"/>
      <c r="AZ353" s="211"/>
    </row>
    <row r="354" ht="18" customHeight="1" hidden="1">
      <c r="A354" s="207"/>
      <c r="B354" s="208"/>
      <c r="C354" s="56"/>
      <c r="D354" s="56"/>
      <c r="E354" s="56"/>
      <c r="F354" s="56"/>
      <c r="G354" s="56"/>
      <c r="H354" s="56"/>
      <c r="I354" s="56"/>
      <c r="J354" s="56"/>
      <c r="K354" s="56"/>
      <c r="L354" s="256"/>
      <c r="M354" s="256"/>
      <c r="N354" s="256"/>
      <c r="O354" s="256"/>
      <c r="P354" s="256"/>
      <c r="Q354" s="256"/>
      <c r="R354" s="256"/>
      <c r="S354" s="208"/>
      <c r="T354" s="256"/>
      <c r="U354" s="256"/>
      <c r="V354" s="256"/>
      <c r="W354" s="256"/>
      <c r="X354" s="237"/>
      <c r="Y354" s="256"/>
      <c r="Z354" s="256"/>
      <c r="AA354" s="256"/>
      <c r="AB354" s="256"/>
      <c r="AC354" s="256"/>
      <c r="AD354" s="256"/>
      <c r="AE354" s="256"/>
      <c r="AF354" s="256"/>
      <c r="AG354" s="256"/>
      <c r="AH354" s="256"/>
      <c r="AI354" s="256"/>
      <c r="AJ354" s="256"/>
      <c r="AK354" s="237"/>
      <c r="AL354" s="56"/>
      <c r="AM354" s="56"/>
      <c r="AN354" s="56"/>
      <c r="AO354" s="56"/>
      <c r="AP354" s="56"/>
      <c r="AQ354" s="56"/>
      <c r="AR354" s="56"/>
      <c r="AS354" s="56"/>
      <c r="AT354" s="56"/>
      <c r="AU354" s="56"/>
      <c r="AV354" s="56"/>
      <c r="AW354" s="56"/>
      <c r="AX354" s="56"/>
      <c r="AY354" s="208"/>
      <c r="AZ354" s="211"/>
    </row>
    <row r="355" ht="18" customHeight="1" hidden="1">
      <c r="A355" s="207"/>
      <c r="B355" s="208"/>
      <c r="C355" s="56"/>
      <c r="D355" s="56"/>
      <c r="E355" s="56"/>
      <c r="F355" s="56"/>
      <c r="G355" s="56"/>
      <c r="H355" s="56"/>
      <c r="I355" s="56"/>
      <c r="J355" s="56"/>
      <c r="K355" s="56"/>
      <c r="L355" s="256"/>
      <c r="M355" s="256"/>
      <c r="N355" s="256"/>
      <c r="O355" s="256"/>
      <c r="P355" s="256"/>
      <c r="Q355" s="256"/>
      <c r="R355" s="256"/>
      <c r="S355" s="208"/>
      <c r="T355" s="256"/>
      <c r="U355" s="256"/>
      <c r="V355" s="256"/>
      <c r="W355" s="256"/>
      <c r="X355" s="237"/>
      <c r="Y355" s="256"/>
      <c r="Z355" s="256"/>
      <c r="AA355" s="256"/>
      <c r="AB355" s="256"/>
      <c r="AC355" s="256"/>
      <c r="AD355" s="256"/>
      <c r="AE355" s="256"/>
      <c r="AF355" s="256"/>
      <c r="AG355" s="256"/>
      <c r="AH355" s="256"/>
      <c r="AI355" s="256"/>
      <c r="AJ355" s="256"/>
      <c r="AK355" s="237"/>
      <c r="AL355" s="56"/>
      <c r="AM355" s="56"/>
      <c r="AN355" s="56"/>
      <c r="AO355" s="56"/>
      <c r="AP355" s="56"/>
      <c r="AQ355" s="56"/>
      <c r="AR355" s="56"/>
      <c r="AS355" s="56"/>
      <c r="AT355" s="56"/>
      <c r="AU355" s="56"/>
      <c r="AV355" s="56"/>
      <c r="AW355" s="56"/>
      <c r="AX355" s="56"/>
      <c r="AY355" s="208"/>
      <c r="AZ355" s="211"/>
    </row>
    <row r="356" ht="18" customHeight="1" hidden="1">
      <c r="A356" s="207"/>
      <c r="B356" s="208"/>
      <c r="C356" s="56"/>
      <c r="D356" s="56"/>
      <c r="E356" s="56"/>
      <c r="F356" s="56"/>
      <c r="G356" s="56"/>
      <c r="H356" s="56"/>
      <c r="I356" s="56"/>
      <c r="J356" s="56"/>
      <c r="K356" s="56"/>
      <c r="L356" s="256"/>
      <c r="M356" s="256"/>
      <c r="N356" s="256"/>
      <c r="O356" s="256"/>
      <c r="P356" s="256"/>
      <c r="Q356" s="256"/>
      <c r="R356" s="256"/>
      <c r="S356" s="208"/>
      <c r="T356" s="256"/>
      <c r="U356" s="256"/>
      <c r="V356" s="256"/>
      <c r="W356" s="256"/>
      <c r="X356" s="237"/>
      <c r="Y356" s="256"/>
      <c r="Z356" s="256"/>
      <c r="AA356" s="256"/>
      <c r="AB356" s="256"/>
      <c r="AC356" s="256"/>
      <c r="AD356" s="256"/>
      <c r="AE356" s="256"/>
      <c r="AF356" s="256"/>
      <c r="AG356" s="256"/>
      <c r="AH356" s="256"/>
      <c r="AI356" s="256"/>
      <c r="AJ356" s="256"/>
      <c r="AK356" s="237"/>
      <c r="AL356" s="56"/>
      <c r="AM356" s="56"/>
      <c r="AN356" s="56"/>
      <c r="AO356" s="56"/>
      <c r="AP356" s="56"/>
      <c r="AQ356" s="56"/>
      <c r="AR356" s="56"/>
      <c r="AS356" s="56"/>
      <c r="AT356" s="56"/>
      <c r="AU356" s="56"/>
      <c r="AV356" s="56"/>
      <c r="AW356" s="56"/>
      <c r="AX356" s="56"/>
      <c r="AY356" s="208"/>
      <c r="AZ356" s="211"/>
    </row>
    <row r="357" ht="18" customHeight="1" hidden="1">
      <c r="A357" s="207"/>
      <c r="B357" s="208"/>
      <c r="C357" s="56"/>
      <c r="D357" s="56"/>
      <c r="E357" s="56"/>
      <c r="F357" s="56"/>
      <c r="G357" s="56"/>
      <c r="H357" s="56"/>
      <c r="I357" s="56"/>
      <c r="J357" s="56"/>
      <c r="K357" s="56"/>
      <c r="L357" s="256"/>
      <c r="M357" s="256"/>
      <c r="N357" s="256"/>
      <c r="O357" s="256"/>
      <c r="P357" s="256"/>
      <c r="Q357" s="256"/>
      <c r="R357" s="256"/>
      <c r="S357" s="208"/>
      <c r="T357" s="256"/>
      <c r="U357" s="256"/>
      <c r="V357" s="256"/>
      <c r="W357" s="256"/>
      <c r="X357" s="237"/>
      <c r="Y357" s="256"/>
      <c r="Z357" s="256"/>
      <c r="AA357" s="256"/>
      <c r="AB357" s="256"/>
      <c r="AC357" s="256"/>
      <c r="AD357" s="256"/>
      <c r="AE357" s="256"/>
      <c r="AF357" s="256"/>
      <c r="AG357" s="256"/>
      <c r="AH357" s="256"/>
      <c r="AI357" s="256"/>
      <c r="AJ357" s="256"/>
      <c r="AK357" s="237"/>
      <c r="AL357" s="56"/>
      <c r="AM357" s="56"/>
      <c r="AN357" s="56"/>
      <c r="AO357" s="56"/>
      <c r="AP357" s="56"/>
      <c r="AQ357" s="56"/>
      <c r="AR357" s="56"/>
      <c r="AS357" s="56"/>
      <c r="AT357" s="56"/>
      <c r="AU357" s="56"/>
      <c r="AV357" s="56"/>
      <c r="AW357" s="56"/>
      <c r="AX357" s="56"/>
      <c r="AY357" s="208"/>
      <c r="AZ357" s="211"/>
    </row>
    <row r="358" ht="18" customHeight="1" hidden="1">
      <c r="A358" s="207"/>
      <c r="B358" s="208"/>
      <c r="C358" s="56"/>
      <c r="D358" s="56"/>
      <c r="E358" s="56"/>
      <c r="F358" s="56"/>
      <c r="G358" s="56"/>
      <c r="H358" s="56"/>
      <c r="I358" s="56"/>
      <c r="J358" s="56"/>
      <c r="K358" s="56"/>
      <c r="L358" s="256"/>
      <c r="M358" s="256"/>
      <c r="N358" s="256"/>
      <c r="O358" s="256"/>
      <c r="P358" s="256"/>
      <c r="Q358" s="256"/>
      <c r="R358" s="256"/>
      <c r="S358" s="208"/>
      <c r="T358" s="256"/>
      <c r="U358" s="256"/>
      <c r="V358" s="256"/>
      <c r="W358" s="256"/>
      <c r="X358" s="237"/>
      <c r="Y358" s="256"/>
      <c r="Z358" s="256"/>
      <c r="AA358" s="256"/>
      <c r="AB358" s="256"/>
      <c r="AC358" s="256"/>
      <c r="AD358" s="256"/>
      <c r="AE358" s="256"/>
      <c r="AF358" s="256"/>
      <c r="AG358" s="256"/>
      <c r="AH358" s="256"/>
      <c r="AI358" s="256"/>
      <c r="AJ358" s="256"/>
      <c r="AK358" s="237"/>
      <c r="AL358" s="56"/>
      <c r="AM358" s="56"/>
      <c r="AN358" s="56"/>
      <c r="AO358" s="56"/>
      <c r="AP358" s="56"/>
      <c r="AQ358" s="56"/>
      <c r="AR358" s="56"/>
      <c r="AS358" s="56"/>
      <c r="AT358" s="56"/>
      <c r="AU358" s="56"/>
      <c r="AV358" s="56"/>
      <c r="AW358" s="56"/>
      <c r="AX358" s="56"/>
      <c r="AY358" s="208"/>
      <c r="AZ358" s="211"/>
    </row>
    <row r="359" ht="18" customHeight="1" hidden="1">
      <c r="A359" s="207"/>
      <c r="B359" s="208"/>
      <c r="C359" s="56"/>
      <c r="D359" s="56"/>
      <c r="E359" s="56"/>
      <c r="F359" s="56"/>
      <c r="G359" s="56"/>
      <c r="H359" s="56"/>
      <c r="I359" s="56"/>
      <c r="J359" s="56"/>
      <c r="K359" s="56"/>
      <c r="L359" s="256"/>
      <c r="M359" s="256"/>
      <c r="N359" s="256"/>
      <c r="O359" s="256"/>
      <c r="P359" s="256"/>
      <c r="Q359" s="256"/>
      <c r="R359" s="256"/>
      <c r="S359" s="208"/>
      <c r="T359" s="256"/>
      <c r="U359" s="256"/>
      <c r="V359" s="256"/>
      <c r="W359" s="256"/>
      <c r="X359" s="237"/>
      <c r="Y359" s="256"/>
      <c r="Z359" s="256"/>
      <c r="AA359" s="256"/>
      <c r="AB359" s="256"/>
      <c r="AC359" s="256"/>
      <c r="AD359" s="256"/>
      <c r="AE359" s="256"/>
      <c r="AF359" s="256"/>
      <c r="AG359" s="256"/>
      <c r="AH359" s="256"/>
      <c r="AI359" s="256"/>
      <c r="AJ359" s="256"/>
      <c r="AK359" s="237"/>
      <c r="AL359" s="56"/>
      <c r="AM359" s="56"/>
      <c r="AN359" s="56"/>
      <c r="AO359" s="56"/>
      <c r="AP359" s="56"/>
      <c r="AQ359" s="56"/>
      <c r="AR359" s="56"/>
      <c r="AS359" s="56"/>
      <c r="AT359" s="56"/>
      <c r="AU359" s="56"/>
      <c r="AV359" s="56"/>
      <c r="AW359" s="56"/>
      <c r="AX359" s="56"/>
      <c r="AY359" s="208"/>
      <c r="AZ359" s="211"/>
    </row>
    <row r="360" ht="18" customHeight="1" hidden="1">
      <c r="A360" s="207"/>
      <c r="B360" s="208"/>
      <c r="C360" s="56"/>
      <c r="D360" s="56"/>
      <c r="E360" s="56"/>
      <c r="F360" s="56"/>
      <c r="G360" s="56"/>
      <c r="H360" s="56"/>
      <c r="I360" s="56"/>
      <c r="J360" s="56"/>
      <c r="K360" s="56"/>
      <c r="L360" s="256"/>
      <c r="M360" s="256"/>
      <c r="N360" s="256"/>
      <c r="O360" s="256"/>
      <c r="P360" s="256"/>
      <c r="Q360" s="256"/>
      <c r="R360" s="256"/>
      <c r="S360" s="208"/>
      <c r="T360" s="256"/>
      <c r="U360" s="256"/>
      <c r="V360" s="256"/>
      <c r="W360" s="256"/>
      <c r="X360" s="237"/>
      <c r="Y360" s="256"/>
      <c r="Z360" s="256"/>
      <c r="AA360" s="256"/>
      <c r="AB360" s="256"/>
      <c r="AC360" s="256"/>
      <c r="AD360" s="256"/>
      <c r="AE360" s="256"/>
      <c r="AF360" s="256"/>
      <c r="AG360" s="256"/>
      <c r="AH360" s="256"/>
      <c r="AI360" s="256"/>
      <c r="AJ360" s="256"/>
      <c r="AK360" s="237"/>
      <c r="AL360" s="56"/>
      <c r="AM360" s="56"/>
      <c r="AN360" s="56"/>
      <c r="AO360" s="56"/>
      <c r="AP360" s="56"/>
      <c r="AQ360" s="56"/>
      <c r="AR360" s="56"/>
      <c r="AS360" s="56"/>
      <c r="AT360" s="56"/>
      <c r="AU360" s="56"/>
      <c r="AV360" s="56"/>
      <c r="AW360" s="56"/>
      <c r="AX360" s="56"/>
      <c r="AY360" s="208"/>
      <c r="AZ360" s="211"/>
    </row>
    <row r="361" ht="18" customHeight="1" hidden="1">
      <c r="A361" s="207"/>
      <c r="B361" s="208"/>
      <c r="C361" s="56"/>
      <c r="D361" s="56"/>
      <c r="E361" s="56"/>
      <c r="F361" s="56"/>
      <c r="G361" s="56"/>
      <c r="H361" s="56"/>
      <c r="I361" s="56"/>
      <c r="J361" s="56"/>
      <c r="K361" s="56"/>
      <c r="L361" s="256"/>
      <c r="M361" s="256"/>
      <c r="N361" s="256"/>
      <c r="O361" s="256"/>
      <c r="P361" s="256"/>
      <c r="Q361" s="256"/>
      <c r="R361" s="256"/>
      <c r="S361" s="208"/>
      <c r="T361" s="256"/>
      <c r="U361" s="256"/>
      <c r="V361" s="256"/>
      <c r="W361" s="256"/>
      <c r="X361" s="237"/>
      <c r="Y361" s="256"/>
      <c r="Z361" s="256"/>
      <c r="AA361" s="256"/>
      <c r="AB361" s="256"/>
      <c r="AC361" s="256"/>
      <c r="AD361" s="256"/>
      <c r="AE361" s="256"/>
      <c r="AF361" s="256"/>
      <c r="AG361" s="256"/>
      <c r="AH361" s="256"/>
      <c r="AI361" s="256"/>
      <c r="AJ361" s="256"/>
      <c r="AK361" s="237"/>
      <c r="AL361" s="56"/>
      <c r="AM361" s="56"/>
      <c r="AN361" s="56"/>
      <c r="AO361" s="56"/>
      <c r="AP361" s="56"/>
      <c r="AQ361" s="56"/>
      <c r="AR361" s="56"/>
      <c r="AS361" s="56"/>
      <c r="AT361" s="56"/>
      <c r="AU361" s="56"/>
      <c r="AV361" s="56"/>
      <c r="AW361" s="56"/>
      <c r="AX361" s="56"/>
      <c r="AY361" s="208"/>
      <c r="AZ361" s="211"/>
    </row>
    <row r="362" ht="18" customHeight="1" hidden="1">
      <c r="A362" s="207"/>
      <c r="B362" s="208"/>
      <c r="C362" s="56"/>
      <c r="D362" s="56"/>
      <c r="E362" s="56"/>
      <c r="F362" s="56"/>
      <c r="G362" s="56"/>
      <c r="H362" s="56"/>
      <c r="I362" s="56"/>
      <c r="J362" s="56"/>
      <c r="K362" s="56"/>
      <c r="L362" s="256"/>
      <c r="M362" s="256"/>
      <c r="N362" s="256"/>
      <c r="O362" s="256"/>
      <c r="P362" s="256"/>
      <c r="Q362" s="256"/>
      <c r="R362" s="256"/>
      <c r="S362" s="208"/>
      <c r="T362" s="256"/>
      <c r="U362" s="256"/>
      <c r="V362" s="256"/>
      <c r="W362" s="256"/>
      <c r="X362" s="237"/>
      <c r="Y362" s="256"/>
      <c r="Z362" s="256"/>
      <c r="AA362" s="256"/>
      <c r="AB362" s="256"/>
      <c r="AC362" s="256"/>
      <c r="AD362" s="256"/>
      <c r="AE362" s="256"/>
      <c r="AF362" s="256"/>
      <c r="AG362" s="256"/>
      <c r="AH362" s="256"/>
      <c r="AI362" s="256"/>
      <c r="AJ362" s="256"/>
      <c r="AK362" s="237"/>
      <c r="AL362" s="56"/>
      <c r="AM362" s="56"/>
      <c r="AN362" s="56"/>
      <c r="AO362" s="56"/>
      <c r="AP362" s="56"/>
      <c r="AQ362" s="56"/>
      <c r="AR362" s="56"/>
      <c r="AS362" s="56"/>
      <c r="AT362" s="56"/>
      <c r="AU362" s="56"/>
      <c r="AV362" s="56"/>
      <c r="AW362" s="56"/>
      <c r="AX362" s="56"/>
      <c r="AY362" s="208"/>
      <c r="AZ362" s="211"/>
    </row>
    <row r="363" ht="18" customHeight="1" hidden="1">
      <c r="A363" s="207"/>
      <c r="B363" s="208"/>
      <c r="C363" s="56"/>
      <c r="D363" s="56"/>
      <c r="E363" s="56"/>
      <c r="F363" s="56"/>
      <c r="G363" s="56"/>
      <c r="H363" s="56"/>
      <c r="I363" s="56"/>
      <c r="J363" s="56"/>
      <c r="K363" s="56"/>
      <c r="L363" s="256"/>
      <c r="M363" s="256"/>
      <c r="N363" s="256"/>
      <c r="O363" s="256"/>
      <c r="P363" s="256"/>
      <c r="Q363" s="256"/>
      <c r="R363" s="256"/>
      <c r="S363" s="208"/>
      <c r="T363" s="256"/>
      <c r="U363" s="256"/>
      <c r="V363" s="256"/>
      <c r="W363" s="256"/>
      <c r="X363" s="237"/>
      <c r="Y363" s="256"/>
      <c r="Z363" s="256"/>
      <c r="AA363" s="256"/>
      <c r="AB363" s="256"/>
      <c r="AC363" s="256"/>
      <c r="AD363" s="256"/>
      <c r="AE363" s="256"/>
      <c r="AF363" s="256"/>
      <c r="AG363" s="256"/>
      <c r="AH363" s="256"/>
      <c r="AI363" s="256"/>
      <c r="AJ363" s="256"/>
      <c r="AK363" s="237"/>
      <c r="AL363" s="56"/>
      <c r="AM363" s="56"/>
      <c r="AN363" s="56"/>
      <c r="AO363" s="56"/>
      <c r="AP363" s="56"/>
      <c r="AQ363" s="56"/>
      <c r="AR363" s="56"/>
      <c r="AS363" s="56"/>
      <c r="AT363" s="56"/>
      <c r="AU363" s="56"/>
      <c r="AV363" s="56"/>
      <c r="AW363" s="56"/>
      <c r="AX363" s="56"/>
      <c r="AY363" s="208"/>
      <c r="AZ363" s="211"/>
    </row>
    <row r="364" ht="18" customHeight="1" hidden="1">
      <c r="A364" s="207"/>
      <c r="B364" s="208"/>
      <c r="C364" s="56"/>
      <c r="D364" s="56"/>
      <c r="E364" s="56"/>
      <c r="F364" s="56"/>
      <c r="G364" s="56"/>
      <c r="H364" s="56"/>
      <c r="I364" s="56"/>
      <c r="J364" s="56"/>
      <c r="K364" s="56"/>
      <c r="L364" s="256"/>
      <c r="M364" s="256"/>
      <c r="N364" s="256"/>
      <c r="O364" s="256"/>
      <c r="P364" s="256"/>
      <c r="Q364" s="256"/>
      <c r="R364" s="256"/>
      <c r="S364" s="208"/>
      <c r="T364" s="256"/>
      <c r="U364" s="256"/>
      <c r="V364" s="256"/>
      <c r="W364" s="256"/>
      <c r="X364" s="237"/>
      <c r="Y364" s="256"/>
      <c r="Z364" s="256"/>
      <c r="AA364" s="256"/>
      <c r="AB364" s="256"/>
      <c r="AC364" s="256"/>
      <c r="AD364" s="256"/>
      <c r="AE364" s="256"/>
      <c r="AF364" s="256"/>
      <c r="AG364" s="256"/>
      <c r="AH364" s="256"/>
      <c r="AI364" s="256"/>
      <c r="AJ364" s="256"/>
      <c r="AK364" s="237"/>
      <c r="AL364" s="56"/>
      <c r="AM364" s="56"/>
      <c r="AN364" s="56"/>
      <c r="AO364" s="56"/>
      <c r="AP364" s="56"/>
      <c r="AQ364" s="56"/>
      <c r="AR364" s="56"/>
      <c r="AS364" s="56"/>
      <c r="AT364" s="56"/>
      <c r="AU364" s="56"/>
      <c r="AV364" s="56"/>
      <c r="AW364" s="56"/>
      <c r="AX364" s="56"/>
      <c r="AY364" s="208"/>
      <c r="AZ364" s="211"/>
    </row>
    <row r="365" ht="18" customHeight="1" hidden="1">
      <c r="A365" s="207"/>
      <c r="B365" s="208"/>
      <c r="C365" s="56"/>
      <c r="D365" s="56"/>
      <c r="E365" s="56"/>
      <c r="F365" s="56"/>
      <c r="G365" s="56"/>
      <c r="H365" s="56"/>
      <c r="I365" s="56"/>
      <c r="J365" s="56"/>
      <c r="K365" s="56"/>
      <c r="L365" s="256"/>
      <c r="M365" s="256"/>
      <c r="N365" s="256"/>
      <c r="O365" s="256"/>
      <c r="P365" s="256"/>
      <c r="Q365" s="256"/>
      <c r="R365" s="256"/>
      <c r="S365" s="208"/>
      <c r="T365" s="256"/>
      <c r="U365" s="256"/>
      <c r="V365" s="256"/>
      <c r="W365" s="256"/>
      <c r="X365" s="237"/>
      <c r="Y365" s="256"/>
      <c r="Z365" s="256"/>
      <c r="AA365" s="256"/>
      <c r="AB365" s="256"/>
      <c r="AC365" s="256"/>
      <c r="AD365" s="256"/>
      <c r="AE365" s="256"/>
      <c r="AF365" s="256"/>
      <c r="AG365" s="256"/>
      <c r="AH365" s="256"/>
      <c r="AI365" s="256"/>
      <c r="AJ365" s="256"/>
      <c r="AK365" s="237"/>
      <c r="AL365" s="56"/>
      <c r="AM365" s="56"/>
      <c r="AN365" s="56"/>
      <c r="AO365" s="56"/>
      <c r="AP365" s="56"/>
      <c r="AQ365" s="56"/>
      <c r="AR365" s="56"/>
      <c r="AS365" s="56"/>
      <c r="AT365" s="56"/>
      <c r="AU365" s="56"/>
      <c r="AV365" s="56"/>
      <c r="AW365" s="56"/>
      <c r="AX365" s="56"/>
      <c r="AY365" s="208"/>
      <c r="AZ365" s="211"/>
    </row>
    <row r="366" ht="18" customHeight="1" hidden="1">
      <c r="A366" s="207"/>
      <c r="B366" s="208"/>
      <c r="C366" s="56"/>
      <c r="D366" s="56"/>
      <c r="E366" s="56"/>
      <c r="F366" s="56"/>
      <c r="G366" s="56"/>
      <c r="H366" s="56"/>
      <c r="I366" s="56"/>
      <c r="J366" s="56"/>
      <c r="K366" s="56"/>
      <c r="L366" s="256"/>
      <c r="M366" s="256"/>
      <c r="N366" s="256"/>
      <c r="O366" s="256"/>
      <c r="P366" s="256"/>
      <c r="Q366" s="256"/>
      <c r="R366" s="256"/>
      <c r="S366" s="208"/>
      <c r="T366" s="256"/>
      <c r="U366" s="256"/>
      <c r="V366" s="256"/>
      <c r="W366" s="256"/>
      <c r="X366" s="237"/>
      <c r="Y366" s="256"/>
      <c r="Z366" s="256"/>
      <c r="AA366" s="256"/>
      <c r="AB366" s="256"/>
      <c r="AC366" s="256"/>
      <c r="AD366" s="256"/>
      <c r="AE366" s="256"/>
      <c r="AF366" s="256"/>
      <c r="AG366" s="256"/>
      <c r="AH366" s="256"/>
      <c r="AI366" s="256"/>
      <c r="AJ366" s="256"/>
      <c r="AK366" s="237"/>
      <c r="AL366" s="56"/>
      <c r="AM366" s="56"/>
      <c r="AN366" s="56"/>
      <c r="AO366" s="56"/>
      <c r="AP366" s="56"/>
      <c r="AQ366" s="56"/>
      <c r="AR366" s="56"/>
      <c r="AS366" s="56"/>
      <c r="AT366" s="56"/>
      <c r="AU366" s="56"/>
      <c r="AV366" s="56"/>
      <c r="AW366" s="56"/>
      <c r="AX366" s="56"/>
      <c r="AY366" s="208"/>
      <c r="AZ366" s="211"/>
    </row>
    <row r="367" ht="18" customHeight="1" hidden="1">
      <c r="A367" s="207"/>
      <c r="B367" s="208"/>
      <c r="C367" s="56"/>
      <c r="D367" s="56"/>
      <c r="E367" s="56"/>
      <c r="F367" s="56"/>
      <c r="G367" s="56"/>
      <c r="H367" s="56"/>
      <c r="I367" s="56"/>
      <c r="J367" s="56"/>
      <c r="K367" s="56"/>
      <c r="L367" s="256"/>
      <c r="M367" s="256"/>
      <c r="N367" s="256"/>
      <c r="O367" s="256"/>
      <c r="P367" s="256"/>
      <c r="Q367" s="256"/>
      <c r="R367" s="256"/>
      <c r="S367" s="208"/>
      <c r="T367" s="256"/>
      <c r="U367" s="256"/>
      <c r="V367" s="256"/>
      <c r="W367" s="256"/>
      <c r="X367" s="237"/>
      <c r="Y367" s="256"/>
      <c r="Z367" s="256"/>
      <c r="AA367" s="256"/>
      <c r="AB367" s="256"/>
      <c r="AC367" s="256"/>
      <c r="AD367" s="256"/>
      <c r="AE367" s="256"/>
      <c r="AF367" s="256"/>
      <c r="AG367" s="256"/>
      <c r="AH367" s="256"/>
      <c r="AI367" s="256"/>
      <c r="AJ367" s="256"/>
      <c r="AK367" s="237"/>
      <c r="AL367" s="56"/>
      <c r="AM367" s="56"/>
      <c r="AN367" s="56"/>
      <c r="AO367" s="56"/>
      <c r="AP367" s="56"/>
      <c r="AQ367" s="56"/>
      <c r="AR367" s="56"/>
      <c r="AS367" s="56"/>
      <c r="AT367" s="56"/>
      <c r="AU367" s="56"/>
      <c r="AV367" s="56"/>
      <c r="AW367" s="56"/>
      <c r="AX367" s="56"/>
      <c r="AY367" s="208"/>
      <c r="AZ367" s="211"/>
    </row>
    <row r="368" ht="18" customHeight="1" hidden="1">
      <c r="A368" s="207"/>
      <c r="B368" s="208"/>
      <c r="C368" s="56"/>
      <c r="D368" s="56"/>
      <c r="E368" s="56"/>
      <c r="F368" s="56"/>
      <c r="G368" s="56"/>
      <c r="H368" s="56"/>
      <c r="I368" s="56"/>
      <c r="J368" s="56"/>
      <c r="K368" s="56"/>
      <c r="L368" s="256"/>
      <c r="M368" s="256"/>
      <c r="N368" s="256"/>
      <c r="O368" s="256"/>
      <c r="P368" s="256"/>
      <c r="Q368" s="256"/>
      <c r="R368" s="256"/>
      <c r="S368" s="208"/>
      <c r="T368" s="256"/>
      <c r="U368" s="256"/>
      <c r="V368" s="256"/>
      <c r="W368" s="256"/>
      <c r="X368" s="237"/>
      <c r="Y368" s="256"/>
      <c r="Z368" s="256"/>
      <c r="AA368" s="256"/>
      <c r="AB368" s="256"/>
      <c r="AC368" s="256"/>
      <c r="AD368" s="256"/>
      <c r="AE368" s="256"/>
      <c r="AF368" s="256"/>
      <c r="AG368" s="256"/>
      <c r="AH368" s="256"/>
      <c r="AI368" s="256"/>
      <c r="AJ368" s="256"/>
      <c r="AK368" s="237"/>
      <c r="AL368" s="56"/>
      <c r="AM368" s="56"/>
      <c r="AN368" s="56"/>
      <c r="AO368" s="56"/>
      <c r="AP368" s="56"/>
      <c r="AQ368" s="56"/>
      <c r="AR368" s="56"/>
      <c r="AS368" s="56"/>
      <c r="AT368" s="56"/>
      <c r="AU368" s="56"/>
      <c r="AV368" s="56"/>
      <c r="AW368" s="56"/>
      <c r="AX368" s="56"/>
      <c r="AY368" s="208"/>
      <c r="AZ368" s="211"/>
    </row>
    <row r="369" ht="18" customHeight="1" hidden="1">
      <c r="A369" s="207"/>
      <c r="B369" s="208"/>
      <c r="C369" s="56"/>
      <c r="D369" s="56"/>
      <c r="E369" s="56"/>
      <c r="F369" s="56"/>
      <c r="G369" s="56"/>
      <c r="H369" s="56"/>
      <c r="I369" s="56"/>
      <c r="J369" s="56"/>
      <c r="K369" s="56"/>
      <c r="L369" s="256"/>
      <c r="M369" s="256"/>
      <c r="N369" s="256"/>
      <c r="O369" s="256"/>
      <c r="P369" s="256"/>
      <c r="Q369" s="256"/>
      <c r="R369" s="256"/>
      <c r="S369" s="208"/>
      <c r="T369" s="256"/>
      <c r="U369" s="256"/>
      <c r="V369" s="256"/>
      <c r="W369" s="256"/>
      <c r="X369" s="237"/>
      <c r="Y369" s="256"/>
      <c r="Z369" s="256"/>
      <c r="AA369" s="256"/>
      <c r="AB369" s="256"/>
      <c r="AC369" s="256"/>
      <c r="AD369" s="256"/>
      <c r="AE369" s="256"/>
      <c r="AF369" s="256"/>
      <c r="AG369" s="256"/>
      <c r="AH369" s="256"/>
      <c r="AI369" s="256"/>
      <c r="AJ369" s="256"/>
      <c r="AK369" s="237"/>
      <c r="AL369" s="56"/>
      <c r="AM369" s="56"/>
      <c r="AN369" s="56"/>
      <c r="AO369" s="56"/>
      <c r="AP369" s="56"/>
      <c r="AQ369" s="56"/>
      <c r="AR369" s="56"/>
      <c r="AS369" s="56"/>
      <c r="AT369" s="56"/>
      <c r="AU369" s="56"/>
      <c r="AV369" s="56"/>
      <c r="AW369" s="56"/>
      <c r="AX369" s="56"/>
      <c r="AY369" s="208"/>
      <c r="AZ369" s="211"/>
    </row>
    <row r="370" ht="18" customHeight="1" hidden="1">
      <c r="A370" s="207"/>
      <c r="B370" s="208"/>
      <c r="C370" s="56"/>
      <c r="D370" s="56"/>
      <c r="E370" s="56"/>
      <c r="F370" s="56"/>
      <c r="G370" s="56"/>
      <c r="H370" s="56"/>
      <c r="I370" s="56"/>
      <c r="J370" s="56"/>
      <c r="K370" s="56"/>
      <c r="L370" s="256"/>
      <c r="M370" s="256"/>
      <c r="N370" s="256"/>
      <c r="O370" s="256"/>
      <c r="P370" s="256"/>
      <c r="Q370" s="256"/>
      <c r="R370" s="256"/>
      <c r="S370" s="208"/>
      <c r="T370" s="256"/>
      <c r="U370" s="256"/>
      <c r="V370" s="256"/>
      <c r="W370" s="256"/>
      <c r="X370" s="237"/>
      <c r="Y370" s="256"/>
      <c r="Z370" s="256"/>
      <c r="AA370" s="256"/>
      <c r="AB370" s="256"/>
      <c r="AC370" s="256"/>
      <c r="AD370" s="256"/>
      <c r="AE370" s="256"/>
      <c r="AF370" s="256"/>
      <c r="AG370" s="256"/>
      <c r="AH370" s="256"/>
      <c r="AI370" s="256"/>
      <c r="AJ370" s="256"/>
      <c r="AK370" s="237"/>
      <c r="AL370" s="56"/>
      <c r="AM370" s="56"/>
      <c r="AN370" s="56"/>
      <c r="AO370" s="56"/>
      <c r="AP370" s="56"/>
      <c r="AQ370" s="56"/>
      <c r="AR370" s="56"/>
      <c r="AS370" s="56"/>
      <c r="AT370" s="56"/>
      <c r="AU370" s="56"/>
      <c r="AV370" s="56"/>
      <c r="AW370" s="56"/>
      <c r="AX370" s="56"/>
      <c r="AY370" s="208"/>
      <c r="AZ370" s="211"/>
    </row>
    <row r="371" ht="18" customHeight="1" hidden="1">
      <c r="A371" s="207"/>
      <c r="B371" s="208"/>
      <c r="C371" s="56"/>
      <c r="D371" s="56"/>
      <c r="E371" s="56"/>
      <c r="F371" s="56"/>
      <c r="G371" s="56"/>
      <c r="H371" s="56"/>
      <c r="I371" s="56"/>
      <c r="J371" s="56"/>
      <c r="K371" s="56"/>
      <c r="L371" s="256"/>
      <c r="M371" s="256"/>
      <c r="N371" s="256"/>
      <c r="O371" s="256"/>
      <c r="P371" s="256"/>
      <c r="Q371" s="256"/>
      <c r="R371" s="256"/>
      <c r="S371" s="208"/>
      <c r="T371" s="256"/>
      <c r="U371" s="256"/>
      <c r="V371" s="256"/>
      <c r="W371" s="256"/>
      <c r="X371" s="237"/>
      <c r="Y371" s="256"/>
      <c r="Z371" s="256"/>
      <c r="AA371" s="256"/>
      <c r="AB371" s="256"/>
      <c r="AC371" s="256"/>
      <c r="AD371" s="256"/>
      <c r="AE371" s="256"/>
      <c r="AF371" s="256"/>
      <c r="AG371" s="256"/>
      <c r="AH371" s="256"/>
      <c r="AI371" s="256"/>
      <c r="AJ371" s="256"/>
      <c r="AK371" s="237"/>
      <c r="AL371" s="56"/>
      <c r="AM371" s="56"/>
      <c r="AN371" s="56"/>
      <c r="AO371" s="56"/>
      <c r="AP371" s="56"/>
      <c r="AQ371" s="56"/>
      <c r="AR371" s="56"/>
      <c r="AS371" s="56"/>
      <c r="AT371" s="56"/>
      <c r="AU371" s="56"/>
      <c r="AV371" s="56"/>
      <c r="AW371" s="56"/>
      <c r="AX371" s="56"/>
      <c r="AY371" s="208"/>
      <c r="AZ371" s="211"/>
    </row>
    <row r="372" ht="18" customHeight="1" hidden="1">
      <c r="A372" s="207"/>
      <c r="B372" s="208"/>
      <c r="C372" s="56"/>
      <c r="D372" s="56"/>
      <c r="E372" s="56"/>
      <c r="F372" s="56"/>
      <c r="G372" s="56"/>
      <c r="H372" s="56"/>
      <c r="I372" s="56"/>
      <c r="J372" s="56"/>
      <c r="K372" s="56"/>
      <c r="L372" s="256"/>
      <c r="M372" s="256"/>
      <c r="N372" s="256"/>
      <c r="O372" s="256"/>
      <c r="P372" s="256"/>
      <c r="Q372" s="256"/>
      <c r="R372" s="256"/>
      <c r="S372" s="208"/>
      <c r="T372" s="256"/>
      <c r="U372" s="256"/>
      <c r="V372" s="256"/>
      <c r="W372" s="256"/>
      <c r="X372" s="237"/>
      <c r="Y372" s="256"/>
      <c r="Z372" s="256"/>
      <c r="AA372" s="256"/>
      <c r="AB372" s="256"/>
      <c r="AC372" s="256"/>
      <c r="AD372" s="256"/>
      <c r="AE372" s="256"/>
      <c r="AF372" s="256"/>
      <c r="AG372" s="256"/>
      <c r="AH372" s="256"/>
      <c r="AI372" s="256"/>
      <c r="AJ372" s="256"/>
      <c r="AK372" s="237"/>
      <c r="AL372" s="56"/>
      <c r="AM372" s="56"/>
      <c r="AN372" s="56"/>
      <c r="AO372" s="56"/>
      <c r="AP372" s="56"/>
      <c r="AQ372" s="56"/>
      <c r="AR372" s="56"/>
      <c r="AS372" s="56"/>
      <c r="AT372" s="56"/>
      <c r="AU372" s="56"/>
      <c r="AV372" s="56"/>
      <c r="AW372" s="56"/>
      <c r="AX372" s="56"/>
      <c r="AY372" s="208"/>
      <c r="AZ372" s="211"/>
    </row>
    <row r="373" ht="18" customHeight="1" hidden="1">
      <c r="A373" s="207"/>
      <c r="B373" s="208"/>
      <c r="C373" s="56"/>
      <c r="D373" s="56"/>
      <c r="E373" s="56"/>
      <c r="F373" s="56"/>
      <c r="G373" s="56"/>
      <c r="H373" s="56"/>
      <c r="I373" s="56"/>
      <c r="J373" s="56"/>
      <c r="K373" s="56"/>
      <c r="L373" s="256"/>
      <c r="M373" s="256"/>
      <c r="N373" s="256"/>
      <c r="O373" s="256"/>
      <c r="P373" s="256"/>
      <c r="Q373" s="256"/>
      <c r="R373" s="256"/>
      <c r="S373" s="208"/>
      <c r="T373" s="256"/>
      <c r="U373" s="256"/>
      <c r="V373" s="256"/>
      <c r="W373" s="256"/>
      <c r="X373" s="237"/>
      <c r="Y373" s="256"/>
      <c r="Z373" s="256"/>
      <c r="AA373" s="256"/>
      <c r="AB373" s="256"/>
      <c r="AC373" s="256"/>
      <c r="AD373" s="256"/>
      <c r="AE373" s="256"/>
      <c r="AF373" s="256"/>
      <c r="AG373" s="256"/>
      <c r="AH373" s="256"/>
      <c r="AI373" s="256"/>
      <c r="AJ373" s="256"/>
      <c r="AK373" s="237"/>
      <c r="AL373" s="56"/>
      <c r="AM373" s="56"/>
      <c r="AN373" s="56"/>
      <c r="AO373" s="56"/>
      <c r="AP373" s="56"/>
      <c r="AQ373" s="56"/>
      <c r="AR373" s="56"/>
      <c r="AS373" s="56"/>
      <c r="AT373" s="56"/>
      <c r="AU373" s="56"/>
      <c r="AV373" s="56"/>
      <c r="AW373" s="56"/>
      <c r="AX373" s="56"/>
      <c r="AY373" s="208"/>
      <c r="AZ373" s="211"/>
    </row>
    <row r="374" ht="18" customHeight="1" hidden="1">
      <c r="A374" s="207"/>
      <c r="B374" s="208"/>
      <c r="C374" s="56"/>
      <c r="D374" s="56"/>
      <c r="E374" s="56"/>
      <c r="F374" s="56"/>
      <c r="G374" s="56"/>
      <c r="H374" s="56"/>
      <c r="I374" s="56"/>
      <c r="J374" s="56"/>
      <c r="K374" s="56"/>
      <c r="L374" s="256"/>
      <c r="M374" s="256"/>
      <c r="N374" s="256"/>
      <c r="O374" s="256"/>
      <c r="P374" s="256"/>
      <c r="Q374" s="256"/>
      <c r="R374" s="256"/>
      <c r="S374" s="208"/>
      <c r="T374" s="256"/>
      <c r="U374" s="256"/>
      <c r="V374" s="256"/>
      <c r="W374" s="256"/>
      <c r="X374" s="237"/>
      <c r="Y374" s="256"/>
      <c r="Z374" s="256"/>
      <c r="AA374" s="256"/>
      <c r="AB374" s="256"/>
      <c r="AC374" s="256"/>
      <c r="AD374" s="256"/>
      <c r="AE374" s="256"/>
      <c r="AF374" s="256"/>
      <c r="AG374" s="256"/>
      <c r="AH374" s="256"/>
      <c r="AI374" s="256"/>
      <c r="AJ374" s="256"/>
      <c r="AK374" s="237"/>
      <c r="AL374" s="56"/>
      <c r="AM374" s="56"/>
      <c r="AN374" s="56"/>
      <c r="AO374" s="56"/>
      <c r="AP374" s="56"/>
      <c r="AQ374" s="56"/>
      <c r="AR374" s="56"/>
      <c r="AS374" s="56"/>
      <c r="AT374" s="56"/>
      <c r="AU374" s="56"/>
      <c r="AV374" s="56"/>
      <c r="AW374" s="56"/>
      <c r="AX374" s="56"/>
      <c r="AY374" s="208"/>
      <c r="AZ374" s="211"/>
    </row>
    <row r="375" ht="18" customHeight="1" hidden="1">
      <c r="A375" s="207"/>
      <c r="B375" s="208"/>
      <c r="C375" s="56"/>
      <c r="D375" s="56"/>
      <c r="E375" s="56"/>
      <c r="F375" s="56"/>
      <c r="G375" s="56"/>
      <c r="H375" s="56"/>
      <c r="I375" s="56"/>
      <c r="J375" s="56"/>
      <c r="K375" s="56"/>
      <c r="L375" s="256"/>
      <c r="M375" s="256"/>
      <c r="N375" s="256"/>
      <c r="O375" s="256"/>
      <c r="P375" s="256"/>
      <c r="Q375" s="256"/>
      <c r="R375" s="256"/>
      <c r="S375" s="208"/>
      <c r="T375" s="256"/>
      <c r="U375" s="256"/>
      <c r="V375" s="256"/>
      <c r="W375" s="256"/>
      <c r="X375" s="237"/>
      <c r="Y375" s="256"/>
      <c r="Z375" s="256"/>
      <c r="AA375" s="256"/>
      <c r="AB375" s="256"/>
      <c r="AC375" s="256"/>
      <c r="AD375" s="256"/>
      <c r="AE375" s="256"/>
      <c r="AF375" s="256"/>
      <c r="AG375" s="256"/>
      <c r="AH375" s="256"/>
      <c r="AI375" s="256"/>
      <c r="AJ375" s="256"/>
      <c r="AK375" s="237"/>
      <c r="AL375" s="56"/>
      <c r="AM375" s="56"/>
      <c r="AN375" s="56"/>
      <c r="AO375" s="56"/>
      <c r="AP375" s="56"/>
      <c r="AQ375" s="56"/>
      <c r="AR375" s="56"/>
      <c r="AS375" s="56"/>
      <c r="AT375" s="56"/>
      <c r="AU375" s="56"/>
      <c r="AV375" s="56"/>
      <c r="AW375" s="56"/>
      <c r="AX375" s="56"/>
      <c r="AY375" s="208"/>
      <c r="AZ375" s="211"/>
    </row>
    <row r="376" ht="18" customHeight="1" hidden="1">
      <c r="A376" s="207"/>
      <c r="B376" s="208"/>
      <c r="C376" s="56"/>
      <c r="D376" s="56"/>
      <c r="E376" s="56"/>
      <c r="F376" s="56"/>
      <c r="G376" s="56"/>
      <c r="H376" s="56"/>
      <c r="I376" s="56"/>
      <c r="J376" s="56"/>
      <c r="K376" s="56"/>
      <c r="L376" s="256"/>
      <c r="M376" s="256"/>
      <c r="N376" s="256"/>
      <c r="O376" s="256"/>
      <c r="P376" s="256"/>
      <c r="Q376" s="256"/>
      <c r="R376" s="256"/>
      <c r="S376" s="208"/>
      <c r="T376" s="256"/>
      <c r="U376" s="256"/>
      <c r="V376" s="256"/>
      <c r="W376" s="256"/>
      <c r="X376" s="237"/>
      <c r="Y376" s="256"/>
      <c r="Z376" s="256"/>
      <c r="AA376" s="256"/>
      <c r="AB376" s="256"/>
      <c r="AC376" s="256"/>
      <c r="AD376" s="256"/>
      <c r="AE376" s="256"/>
      <c r="AF376" s="256"/>
      <c r="AG376" s="256"/>
      <c r="AH376" s="256"/>
      <c r="AI376" s="256"/>
      <c r="AJ376" s="256"/>
      <c r="AK376" s="237"/>
      <c r="AL376" s="56"/>
      <c r="AM376" s="56"/>
      <c r="AN376" s="56"/>
      <c r="AO376" s="56"/>
      <c r="AP376" s="56"/>
      <c r="AQ376" s="56"/>
      <c r="AR376" s="56"/>
      <c r="AS376" s="56"/>
      <c r="AT376" s="56"/>
      <c r="AU376" s="56"/>
      <c r="AV376" s="56"/>
      <c r="AW376" s="56"/>
      <c r="AX376" s="56"/>
      <c r="AY376" s="208"/>
      <c r="AZ376" s="211"/>
    </row>
    <row r="377" ht="18" customHeight="1" hidden="1">
      <c r="A377" s="207"/>
      <c r="B377" s="208"/>
      <c r="C377" s="56"/>
      <c r="D377" s="56"/>
      <c r="E377" s="56"/>
      <c r="F377" s="56"/>
      <c r="G377" s="56"/>
      <c r="H377" s="56"/>
      <c r="I377" s="56"/>
      <c r="J377" s="56"/>
      <c r="K377" s="56"/>
      <c r="L377" s="256"/>
      <c r="M377" s="256"/>
      <c r="N377" s="256"/>
      <c r="O377" s="256"/>
      <c r="P377" s="256"/>
      <c r="Q377" s="256"/>
      <c r="R377" s="256"/>
      <c r="S377" s="208"/>
      <c r="T377" s="256"/>
      <c r="U377" s="256"/>
      <c r="V377" s="256"/>
      <c r="W377" s="256"/>
      <c r="X377" s="237"/>
      <c r="Y377" s="256"/>
      <c r="Z377" s="256"/>
      <c r="AA377" s="256"/>
      <c r="AB377" s="256"/>
      <c r="AC377" s="256"/>
      <c r="AD377" s="256"/>
      <c r="AE377" s="256"/>
      <c r="AF377" s="256"/>
      <c r="AG377" s="256"/>
      <c r="AH377" s="256"/>
      <c r="AI377" s="256"/>
      <c r="AJ377" s="256"/>
      <c r="AK377" s="237"/>
      <c r="AL377" s="56"/>
      <c r="AM377" s="56"/>
      <c r="AN377" s="56"/>
      <c r="AO377" s="56"/>
      <c r="AP377" s="56"/>
      <c r="AQ377" s="56"/>
      <c r="AR377" s="56"/>
      <c r="AS377" s="56"/>
      <c r="AT377" s="56"/>
      <c r="AU377" s="56"/>
      <c r="AV377" s="56"/>
      <c r="AW377" s="56"/>
      <c r="AX377" s="56"/>
      <c r="AY377" s="208"/>
      <c r="AZ377" s="211"/>
    </row>
    <row r="378" ht="18" customHeight="1" hidden="1">
      <c r="A378" s="207"/>
      <c r="B378" s="208"/>
      <c r="C378" s="56"/>
      <c r="D378" s="56"/>
      <c r="E378" s="56"/>
      <c r="F378" s="56"/>
      <c r="G378" s="56"/>
      <c r="H378" s="56"/>
      <c r="I378" s="56"/>
      <c r="J378" s="56"/>
      <c r="K378" s="56"/>
      <c r="L378" s="256"/>
      <c r="M378" s="256"/>
      <c r="N378" s="256"/>
      <c r="O378" s="256"/>
      <c r="P378" s="256"/>
      <c r="Q378" s="256"/>
      <c r="R378" s="256"/>
      <c r="S378" s="208"/>
      <c r="T378" s="256"/>
      <c r="U378" s="256"/>
      <c r="V378" s="256"/>
      <c r="W378" s="256"/>
      <c r="X378" s="237"/>
      <c r="Y378" s="256"/>
      <c r="Z378" s="256"/>
      <c r="AA378" s="256"/>
      <c r="AB378" s="256"/>
      <c r="AC378" s="256"/>
      <c r="AD378" s="256"/>
      <c r="AE378" s="256"/>
      <c r="AF378" s="256"/>
      <c r="AG378" s="256"/>
      <c r="AH378" s="256"/>
      <c r="AI378" s="256"/>
      <c r="AJ378" s="256"/>
      <c r="AK378" s="237"/>
      <c r="AL378" s="56"/>
      <c r="AM378" s="56"/>
      <c r="AN378" s="56"/>
      <c r="AO378" s="56"/>
      <c r="AP378" s="56"/>
      <c r="AQ378" s="56"/>
      <c r="AR378" s="56"/>
      <c r="AS378" s="56"/>
      <c r="AT378" s="56"/>
      <c r="AU378" s="56"/>
      <c r="AV378" s="56"/>
      <c r="AW378" s="56"/>
      <c r="AX378" s="56"/>
      <c r="AY378" s="208"/>
      <c r="AZ378" s="211"/>
    </row>
    <row r="379" ht="18" customHeight="1" hidden="1">
      <c r="A379" s="207"/>
      <c r="B379" s="208"/>
      <c r="C379" s="56"/>
      <c r="D379" s="56"/>
      <c r="E379" s="56"/>
      <c r="F379" s="56"/>
      <c r="G379" s="56"/>
      <c r="H379" s="56"/>
      <c r="I379" s="56"/>
      <c r="J379" s="56"/>
      <c r="K379" s="56"/>
      <c r="L379" s="256"/>
      <c r="M379" s="256"/>
      <c r="N379" s="256"/>
      <c r="O379" s="256"/>
      <c r="P379" s="256"/>
      <c r="Q379" s="256"/>
      <c r="R379" s="256"/>
      <c r="S379" s="208"/>
      <c r="T379" s="256"/>
      <c r="U379" s="256"/>
      <c r="V379" s="256"/>
      <c r="W379" s="256"/>
      <c r="X379" s="237"/>
      <c r="Y379" s="256"/>
      <c r="Z379" s="256"/>
      <c r="AA379" s="256"/>
      <c r="AB379" s="256"/>
      <c r="AC379" s="256"/>
      <c r="AD379" s="256"/>
      <c r="AE379" s="256"/>
      <c r="AF379" s="256"/>
      <c r="AG379" s="256"/>
      <c r="AH379" s="256"/>
      <c r="AI379" s="256"/>
      <c r="AJ379" s="256"/>
      <c r="AK379" s="237"/>
      <c r="AL379" s="56"/>
      <c r="AM379" s="56"/>
      <c r="AN379" s="56"/>
      <c r="AO379" s="56"/>
      <c r="AP379" s="56"/>
      <c r="AQ379" s="56"/>
      <c r="AR379" s="56"/>
      <c r="AS379" s="56"/>
      <c r="AT379" s="56"/>
      <c r="AU379" s="56"/>
      <c r="AV379" s="56"/>
      <c r="AW379" s="56"/>
      <c r="AX379" s="56"/>
      <c r="AY379" s="208"/>
      <c r="AZ379" s="211"/>
    </row>
    <row r="380" ht="18" customHeight="1" hidden="1">
      <c r="A380" s="207"/>
      <c r="B380" s="208"/>
      <c r="C380" s="56"/>
      <c r="D380" s="56"/>
      <c r="E380" s="56"/>
      <c r="F380" s="56"/>
      <c r="G380" s="56"/>
      <c r="H380" s="56"/>
      <c r="I380" s="56"/>
      <c r="J380" s="56"/>
      <c r="K380" s="56"/>
      <c r="L380" s="256"/>
      <c r="M380" s="256"/>
      <c r="N380" s="256"/>
      <c r="O380" s="256"/>
      <c r="P380" s="256"/>
      <c r="Q380" s="256"/>
      <c r="R380" s="256"/>
      <c r="S380" s="208"/>
      <c r="T380" s="256"/>
      <c r="U380" s="256"/>
      <c r="V380" s="256"/>
      <c r="W380" s="256"/>
      <c r="X380" s="237"/>
      <c r="Y380" s="256"/>
      <c r="Z380" s="256"/>
      <c r="AA380" s="256"/>
      <c r="AB380" s="256"/>
      <c r="AC380" s="256"/>
      <c r="AD380" s="256"/>
      <c r="AE380" s="256"/>
      <c r="AF380" s="256"/>
      <c r="AG380" s="256"/>
      <c r="AH380" s="256"/>
      <c r="AI380" s="256"/>
      <c r="AJ380" s="256"/>
      <c r="AK380" s="237"/>
      <c r="AL380" s="56"/>
      <c r="AM380" s="56"/>
      <c r="AN380" s="56"/>
      <c r="AO380" s="56"/>
      <c r="AP380" s="56"/>
      <c r="AQ380" s="56"/>
      <c r="AR380" s="56"/>
      <c r="AS380" s="56"/>
      <c r="AT380" s="56"/>
      <c r="AU380" s="56"/>
      <c r="AV380" s="56"/>
      <c r="AW380" s="56"/>
      <c r="AX380" s="56"/>
      <c r="AY380" s="208"/>
      <c r="AZ380" s="211"/>
    </row>
    <row r="381" ht="18" customHeight="1" hidden="1">
      <c r="A381" s="207"/>
      <c r="B381" s="208"/>
      <c r="C381" s="56"/>
      <c r="D381" s="56"/>
      <c r="E381" s="56"/>
      <c r="F381" s="56"/>
      <c r="G381" s="56"/>
      <c r="H381" s="56"/>
      <c r="I381" s="56"/>
      <c r="J381" s="56"/>
      <c r="K381" s="56"/>
      <c r="L381" s="256"/>
      <c r="M381" s="256"/>
      <c r="N381" s="256"/>
      <c r="O381" s="256"/>
      <c r="P381" s="256"/>
      <c r="Q381" s="256"/>
      <c r="R381" s="256"/>
      <c r="S381" s="208"/>
      <c r="T381" s="256"/>
      <c r="U381" s="256"/>
      <c r="V381" s="256"/>
      <c r="W381" s="256"/>
      <c r="X381" s="237"/>
      <c r="Y381" s="256"/>
      <c r="Z381" s="256"/>
      <c r="AA381" s="256"/>
      <c r="AB381" s="256"/>
      <c r="AC381" s="256"/>
      <c r="AD381" s="256"/>
      <c r="AE381" s="256"/>
      <c r="AF381" s="256"/>
      <c r="AG381" s="256"/>
      <c r="AH381" s="256"/>
      <c r="AI381" s="256"/>
      <c r="AJ381" s="256"/>
      <c r="AK381" s="237"/>
      <c r="AL381" s="56"/>
      <c r="AM381" s="56"/>
      <c r="AN381" s="56"/>
      <c r="AO381" s="56"/>
      <c r="AP381" s="56"/>
      <c r="AQ381" s="56"/>
      <c r="AR381" s="56"/>
      <c r="AS381" s="56"/>
      <c r="AT381" s="56"/>
      <c r="AU381" s="56"/>
      <c r="AV381" s="56"/>
      <c r="AW381" s="56"/>
      <c r="AX381" s="56"/>
      <c r="AY381" s="208"/>
      <c r="AZ381" s="211"/>
    </row>
    <row r="382" ht="18" customHeight="1" hidden="1">
      <c r="A382" s="207"/>
      <c r="B382" s="208"/>
      <c r="C382" s="56"/>
      <c r="D382" s="56"/>
      <c r="E382" s="56"/>
      <c r="F382" s="56"/>
      <c r="G382" s="56"/>
      <c r="H382" s="56"/>
      <c r="I382" s="56"/>
      <c r="J382" s="56"/>
      <c r="K382" s="56"/>
      <c r="L382" s="256"/>
      <c r="M382" s="256"/>
      <c r="N382" s="256"/>
      <c r="O382" s="256"/>
      <c r="P382" s="256"/>
      <c r="Q382" s="256"/>
      <c r="R382" s="256"/>
      <c r="S382" s="208"/>
      <c r="T382" s="256"/>
      <c r="U382" s="256"/>
      <c r="V382" s="256"/>
      <c r="W382" s="256"/>
      <c r="X382" s="237"/>
      <c r="Y382" s="256"/>
      <c r="Z382" s="256"/>
      <c r="AA382" s="256"/>
      <c r="AB382" s="256"/>
      <c r="AC382" s="256"/>
      <c r="AD382" s="256"/>
      <c r="AE382" s="256"/>
      <c r="AF382" s="256"/>
      <c r="AG382" s="256"/>
      <c r="AH382" s="256"/>
      <c r="AI382" s="256"/>
      <c r="AJ382" s="256"/>
      <c r="AK382" s="237"/>
      <c r="AL382" s="56"/>
      <c r="AM382" s="56"/>
      <c r="AN382" s="56"/>
      <c r="AO382" s="56"/>
      <c r="AP382" s="56"/>
      <c r="AQ382" s="56"/>
      <c r="AR382" s="56"/>
      <c r="AS382" s="56"/>
      <c r="AT382" s="56"/>
      <c r="AU382" s="56"/>
      <c r="AV382" s="56"/>
      <c r="AW382" s="56"/>
      <c r="AX382" s="56"/>
      <c r="AY382" s="208"/>
      <c r="AZ382" s="211"/>
    </row>
    <row r="383" ht="18" customHeight="1" hidden="1">
      <c r="A383" s="207"/>
      <c r="B383" s="208"/>
      <c r="C383" s="56"/>
      <c r="D383" s="56"/>
      <c r="E383" s="56"/>
      <c r="F383" s="56"/>
      <c r="G383" s="56"/>
      <c r="H383" s="56"/>
      <c r="I383" s="56"/>
      <c r="J383" s="56"/>
      <c r="K383" s="56"/>
      <c r="L383" s="256"/>
      <c r="M383" s="256"/>
      <c r="N383" s="256"/>
      <c r="O383" s="256"/>
      <c r="P383" s="256"/>
      <c r="Q383" s="256"/>
      <c r="R383" s="256"/>
      <c r="S383" s="208"/>
      <c r="T383" s="256"/>
      <c r="U383" s="256"/>
      <c r="V383" s="256"/>
      <c r="W383" s="256"/>
      <c r="X383" s="237"/>
      <c r="Y383" s="256"/>
      <c r="Z383" s="256"/>
      <c r="AA383" s="256"/>
      <c r="AB383" s="256"/>
      <c r="AC383" s="256"/>
      <c r="AD383" s="256"/>
      <c r="AE383" s="256"/>
      <c r="AF383" s="256"/>
      <c r="AG383" s="256"/>
      <c r="AH383" s="256"/>
      <c r="AI383" s="256"/>
      <c r="AJ383" s="256"/>
      <c r="AK383" s="237"/>
      <c r="AL383" s="56"/>
      <c r="AM383" s="56"/>
      <c r="AN383" s="56"/>
      <c r="AO383" s="56"/>
      <c r="AP383" s="56"/>
      <c r="AQ383" s="56"/>
      <c r="AR383" s="56"/>
      <c r="AS383" s="56"/>
      <c r="AT383" s="56"/>
      <c r="AU383" s="56"/>
      <c r="AV383" s="56"/>
      <c r="AW383" s="56"/>
      <c r="AX383" s="56"/>
      <c r="AY383" s="208"/>
      <c r="AZ383" s="211"/>
    </row>
    <row r="384" ht="18" customHeight="1" hidden="1">
      <c r="A384" s="207"/>
      <c r="B384" s="208"/>
      <c r="C384" s="56"/>
      <c r="D384" s="56"/>
      <c r="E384" s="56"/>
      <c r="F384" s="56"/>
      <c r="G384" s="56"/>
      <c r="H384" s="56"/>
      <c r="I384" s="56"/>
      <c r="J384" s="56"/>
      <c r="K384" s="56"/>
      <c r="L384" s="256"/>
      <c r="M384" s="256"/>
      <c r="N384" s="256"/>
      <c r="O384" s="256"/>
      <c r="P384" s="256"/>
      <c r="Q384" s="256"/>
      <c r="R384" s="256"/>
      <c r="S384" s="208"/>
      <c r="T384" s="256"/>
      <c r="U384" s="256"/>
      <c r="V384" s="256"/>
      <c r="W384" s="256"/>
      <c r="X384" s="237"/>
      <c r="Y384" s="256"/>
      <c r="Z384" s="256"/>
      <c r="AA384" s="256"/>
      <c r="AB384" s="256"/>
      <c r="AC384" s="256"/>
      <c r="AD384" s="256"/>
      <c r="AE384" s="256"/>
      <c r="AF384" s="256"/>
      <c r="AG384" s="256"/>
      <c r="AH384" s="256"/>
      <c r="AI384" s="256"/>
      <c r="AJ384" s="256"/>
      <c r="AK384" s="237"/>
      <c r="AL384" s="56"/>
      <c r="AM384" s="56"/>
      <c r="AN384" s="56"/>
      <c r="AO384" s="56"/>
      <c r="AP384" s="56"/>
      <c r="AQ384" s="56"/>
      <c r="AR384" s="56"/>
      <c r="AS384" s="56"/>
      <c r="AT384" s="56"/>
      <c r="AU384" s="56"/>
      <c r="AV384" s="56"/>
      <c r="AW384" s="56"/>
      <c r="AX384" s="56"/>
      <c r="AY384" s="208"/>
      <c r="AZ384" s="211"/>
    </row>
    <row r="385" ht="18" customHeight="1" hidden="1">
      <c r="A385" s="207"/>
      <c r="B385" s="208"/>
      <c r="C385" s="56"/>
      <c r="D385" s="56"/>
      <c r="E385" s="56"/>
      <c r="F385" s="56"/>
      <c r="G385" s="56"/>
      <c r="H385" s="56"/>
      <c r="I385" s="56"/>
      <c r="J385" s="56"/>
      <c r="K385" s="56"/>
      <c r="L385" s="256"/>
      <c r="M385" s="256"/>
      <c r="N385" s="256"/>
      <c r="O385" s="256"/>
      <c r="P385" s="256"/>
      <c r="Q385" s="256"/>
      <c r="R385" s="256"/>
      <c r="S385" s="208"/>
      <c r="T385" s="256"/>
      <c r="U385" s="256"/>
      <c r="V385" s="256"/>
      <c r="W385" s="256"/>
      <c r="X385" s="237"/>
      <c r="Y385" s="256"/>
      <c r="Z385" s="256"/>
      <c r="AA385" s="256"/>
      <c r="AB385" s="256"/>
      <c r="AC385" s="256"/>
      <c r="AD385" s="256"/>
      <c r="AE385" s="256"/>
      <c r="AF385" s="256"/>
      <c r="AG385" s="256"/>
      <c r="AH385" s="256"/>
      <c r="AI385" s="256"/>
      <c r="AJ385" s="256"/>
      <c r="AK385" s="237"/>
      <c r="AL385" s="56"/>
      <c r="AM385" s="56"/>
      <c r="AN385" s="56"/>
      <c r="AO385" s="56"/>
      <c r="AP385" s="56"/>
      <c r="AQ385" s="56"/>
      <c r="AR385" s="56"/>
      <c r="AS385" s="56"/>
      <c r="AT385" s="56"/>
      <c r="AU385" s="56"/>
      <c r="AV385" s="56"/>
      <c r="AW385" s="56"/>
      <c r="AX385" s="56"/>
      <c r="AY385" s="208"/>
      <c r="AZ385" s="211"/>
    </row>
    <row r="386" ht="18" customHeight="1" hidden="1">
      <c r="A386" s="207"/>
      <c r="B386" s="208"/>
      <c r="C386" s="56"/>
      <c r="D386" s="56"/>
      <c r="E386" s="56"/>
      <c r="F386" s="56"/>
      <c r="G386" s="56"/>
      <c r="H386" s="56"/>
      <c r="I386" s="56"/>
      <c r="J386" s="56"/>
      <c r="K386" s="56"/>
      <c r="L386" s="256"/>
      <c r="M386" s="256"/>
      <c r="N386" s="256"/>
      <c r="O386" s="256"/>
      <c r="P386" s="256"/>
      <c r="Q386" s="256"/>
      <c r="R386" s="256"/>
      <c r="S386" s="208"/>
      <c r="T386" s="256"/>
      <c r="U386" s="256"/>
      <c r="V386" s="256"/>
      <c r="W386" s="256"/>
      <c r="X386" s="237"/>
      <c r="Y386" s="256"/>
      <c r="Z386" s="256"/>
      <c r="AA386" s="256"/>
      <c r="AB386" s="256"/>
      <c r="AC386" s="256"/>
      <c r="AD386" s="256"/>
      <c r="AE386" s="256"/>
      <c r="AF386" s="256"/>
      <c r="AG386" s="256"/>
      <c r="AH386" s="256"/>
      <c r="AI386" s="256"/>
      <c r="AJ386" s="256"/>
      <c r="AK386" s="237"/>
      <c r="AL386" s="56"/>
      <c r="AM386" s="56"/>
      <c r="AN386" s="56"/>
      <c r="AO386" s="56"/>
      <c r="AP386" s="56"/>
      <c r="AQ386" s="56"/>
      <c r="AR386" s="56"/>
      <c r="AS386" s="56"/>
      <c r="AT386" s="56"/>
      <c r="AU386" s="56"/>
      <c r="AV386" s="56"/>
      <c r="AW386" s="56"/>
      <c r="AX386" s="56"/>
      <c r="AY386" s="208"/>
      <c r="AZ386" s="211"/>
    </row>
    <row r="387" ht="18" customHeight="1" hidden="1">
      <c r="A387" s="207"/>
      <c r="B387" s="208"/>
      <c r="C387" s="56"/>
      <c r="D387" s="56"/>
      <c r="E387" s="56"/>
      <c r="F387" s="56"/>
      <c r="G387" s="56"/>
      <c r="H387" s="56"/>
      <c r="I387" s="56"/>
      <c r="J387" s="56"/>
      <c r="K387" s="56"/>
      <c r="L387" s="256"/>
      <c r="M387" s="256"/>
      <c r="N387" s="256"/>
      <c r="O387" s="256"/>
      <c r="P387" s="256"/>
      <c r="Q387" s="256"/>
      <c r="R387" s="256"/>
      <c r="S387" s="208"/>
      <c r="T387" s="256"/>
      <c r="U387" s="256"/>
      <c r="V387" s="256"/>
      <c r="W387" s="256"/>
      <c r="X387" s="237"/>
      <c r="Y387" s="256"/>
      <c r="Z387" s="256"/>
      <c r="AA387" s="256"/>
      <c r="AB387" s="256"/>
      <c r="AC387" s="256"/>
      <c r="AD387" s="256"/>
      <c r="AE387" s="256"/>
      <c r="AF387" s="256"/>
      <c r="AG387" s="256"/>
      <c r="AH387" s="256"/>
      <c r="AI387" s="256"/>
      <c r="AJ387" s="256"/>
      <c r="AK387" s="237"/>
      <c r="AL387" s="56"/>
      <c r="AM387" s="56"/>
      <c r="AN387" s="56"/>
      <c r="AO387" s="56"/>
      <c r="AP387" s="56"/>
      <c r="AQ387" s="56"/>
      <c r="AR387" s="56"/>
      <c r="AS387" s="56"/>
      <c r="AT387" s="56"/>
      <c r="AU387" s="56"/>
      <c r="AV387" s="56"/>
      <c r="AW387" s="56"/>
      <c r="AX387" s="56"/>
      <c r="AY387" s="208"/>
      <c r="AZ387" s="211"/>
    </row>
    <row r="388" ht="18" customHeight="1" hidden="1">
      <c r="A388" s="207"/>
      <c r="B388" s="208"/>
      <c r="C388" s="56"/>
      <c r="D388" s="56"/>
      <c r="E388" s="56"/>
      <c r="F388" s="56"/>
      <c r="G388" s="56"/>
      <c r="H388" s="56"/>
      <c r="I388" s="56"/>
      <c r="J388" s="56"/>
      <c r="K388" s="56"/>
      <c r="L388" s="256"/>
      <c r="M388" s="256"/>
      <c r="N388" s="256"/>
      <c r="O388" s="256"/>
      <c r="P388" s="256"/>
      <c r="Q388" s="256"/>
      <c r="R388" s="256"/>
      <c r="S388" s="208"/>
      <c r="T388" s="256"/>
      <c r="U388" s="256"/>
      <c r="V388" s="256"/>
      <c r="W388" s="256"/>
      <c r="X388" s="237"/>
      <c r="Y388" s="256"/>
      <c r="Z388" s="256"/>
      <c r="AA388" s="256"/>
      <c r="AB388" s="256"/>
      <c r="AC388" s="256"/>
      <c r="AD388" s="256"/>
      <c r="AE388" s="256"/>
      <c r="AF388" s="256"/>
      <c r="AG388" s="256"/>
      <c r="AH388" s="256"/>
      <c r="AI388" s="256"/>
      <c r="AJ388" s="256"/>
      <c r="AK388" s="237"/>
      <c r="AL388" s="56"/>
      <c r="AM388" s="56"/>
      <c r="AN388" s="56"/>
      <c r="AO388" s="56"/>
      <c r="AP388" s="56"/>
      <c r="AQ388" s="56"/>
      <c r="AR388" s="56"/>
      <c r="AS388" s="56"/>
      <c r="AT388" s="56"/>
      <c r="AU388" s="56"/>
      <c r="AV388" s="56"/>
      <c r="AW388" s="56"/>
      <c r="AX388" s="56"/>
      <c r="AY388" s="208"/>
      <c r="AZ388" s="211"/>
    </row>
    <row r="389" ht="18" customHeight="1" hidden="1">
      <c r="A389" s="207"/>
      <c r="B389" s="208"/>
      <c r="C389" s="56"/>
      <c r="D389" s="56"/>
      <c r="E389" s="56"/>
      <c r="F389" s="56"/>
      <c r="G389" s="56"/>
      <c r="H389" s="56"/>
      <c r="I389" s="56"/>
      <c r="J389" s="56"/>
      <c r="K389" s="56"/>
      <c r="L389" s="256"/>
      <c r="M389" s="256"/>
      <c r="N389" s="256"/>
      <c r="O389" s="256"/>
      <c r="P389" s="256"/>
      <c r="Q389" s="256"/>
      <c r="R389" s="256"/>
      <c r="S389" s="208"/>
      <c r="T389" s="256"/>
      <c r="U389" s="256"/>
      <c r="V389" s="256"/>
      <c r="W389" s="256"/>
      <c r="X389" s="237"/>
      <c r="Y389" s="256"/>
      <c r="Z389" s="256"/>
      <c r="AA389" s="256"/>
      <c r="AB389" s="256"/>
      <c r="AC389" s="256"/>
      <c r="AD389" s="256"/>
      <c r="AE389" s="256"/>
      <c r="AF389" s="256"/>
      <c r="AG389" s="256"/>
      <c r="AH389" s="256"/>
      <c r="AI389" s="256"/>
      <c r="AJ389" s="256"/>
      <c r="AK389" s="237"/>
      <c r="AL389" s="56"/>
      <c r="AM389" s="56"/>
      <c r="AN389" s="56"/>
      <c r="AO389" s="56"/>
      <c r="AP389" s="56"/>
      <c r="AQ389" s="56"/>
      <c r="AR389" s="56"/>
      <c r="AS389" s="56"/>
      <c r="AT389" s="56"/>
      <c r="AU389" s="56"/>
      <c r="AV389" s="56"/>
      <c r="AW389" s="56"/>
      <c r="AX389" s="56"/>
      <c r="AY389" s="208"/>
      <c r="AZ389" s="211"/>
    </row>
    <row r="390" ht="18" customHeight="1" hidden="1">
      <c r="A390" s="207"/>
      <c r="B390" s="208"/>
      <c r="C390" s="56"/>
      <c r="D390" s="56"/>
      <c r="E390" s="56"/>
      <c r="F390" s="56"/>
      <c r="G390" s="56"/>
      <c r="H390" s="56"/>
      <c r="I390" s="56"/>
      <c r="J390" s="56"/>
      <c r="K390" s="56"/>
      <c r="L390" s="256"/>
      <c r="M390" s="256"/>
      <c r="N390" s="256"/>
      <c r="O390" s="256"/>
      <c r="P390" s="256"/>
      <c r="Q390" s="256"/>
      <c r="R390" s="256"/>
      <c r="S390" s="208"/>
      <c r="T390" s="256"/>
      <c r="U390" s="256"/>
      <c r="V390" s="256"/>
      <c r="W390" s="256"/>
      <c r="X390" s="237"/>
      <c r="Y390" s="256"/>
      <c r="Z390" s="256"/>
      <c r="AA390" s="256"/>
      <c r="AB390" s="256"/>
      <c r="AC390" s="256"/>
      <c r="AD390" s="256"/>
      <c r="AE390" s="256"/>
      <c r="AF390" s="256"/>
      <c r="AG390" s="256"/>
      <c r="AH390" s="256"/>
      <c r="AI390" s="256"/>
      <c r="AJ390" s="256"/>
      <c r="AK390" s="237"/>
      <c r="AL390" s="56"/>
      <c r="AM390" s="56"/>
      <c r="AN390" s="56"/>
      <c r="AO390" s="56"/>
      <c r="AP390" s="56"/>
      <c r="AQ390" s="56"/>
      <c r="AR390" s="56"/>
      <c r="AS390" s="56"/>
      <c r="AT390" s="56"/>
      <c r="AU390" s="56"/>
      <c r="AV390" s="56"/>
      <c r="AW390" s="56"/>
      <c r="AX390" s="56"/>
      <c r="AY390" s="208"/>
      <c r="AZ390" s="211"/>
    </row>
    <row r="391" ht="18" customHeight="1" hidden="1">
      <c r="A391" s="207"/>
      <c r="B391" s="208"/>
      <c r="C391" s="56"/>
      <c r="D391" s="56"/>
      <c r="E391" s="56"/>
      <c r="F391" s="56"/>
      <c r="G391" s="56"/>
      <c r="H391" s="56"/>
      <c r="I391" s="56"/>
      <c r="J391" s="56"/>
      <c r="K391" s="56"/>
      <c r="L391" s="256"/>
      <c r="M391" s="256"/>
      <c r="N391" s="256"/>
      <c r="O391" s="256"/>
      <c r="P391" s="256"/>
      <c r="Q391" s="256"/>
      <c r="R391" s="256"/>
      <c r="S391" s="208"/>
      <c r="T391" s="256"/>
      <c r="U391" s="256"/>
      <c r="V391" s="256"/>
      <c r="W391" s="256"/>
      <c r="X391" s="237"/>
      <c r="Y391" s="256"/>
      <c r="Z391" s="256"/>
      <c r="AA391" s="256"/>
      <c r="AB391" s="256"/>
      <c r="AC391" s="256"/>
      <c r="AD391" s="256"/>
      <c r="AE391" s="256"/>
      <c r="AF391" s="256"/>
      <c r="AG391" s="256"/>
      <c r="AH391" s="256"/>
      <c r="AI391" s="256"/>
      <c r="AJ391" s="256"/>
      <c r="AK391" s="237"/>
      <c r="AL391" s="56"/>
      <c r="AM391" s="56"/>
      <c r="AN391" s="56"/>
      <c r="AO391" s="56"/>
      <c r="AP391" s="56"/>
      <c r="AQ391" s="56"/>
      <c r="AR391" s="56"/>
      <c r="AS391" s="56"/>
      <c r="AT391" s="56"/>
      <c r="AU391" s="56"/>
      <c r="AV391" s="56"/>
      <c r="AW391" s="56"/>
      <c r="AX391" s="56"/>
      <c r="AY391" s="208"/>
      <c r="AZ391" s="211"/>
    </row>
    <row r="392" ht="18" customHeight="1" hidden="1">
      <c r="A392" s="207"/>
      <c r="B392" s="208"/>
      <c r="C392" s="56"/>
      <c r="D392" s="56"/>
      <c r="E392" s="56"/>
      <c r="F392" s="56"/>
      <c r="G392" s="56"/>
      <c r="H392" s="56"/>
      <c r="I392" s="56"/>
      <c r="J392" s="56"/>
      <c r="K392" s="56"/>
      <c r="L392" s="256"/>
      <c r="M392" s="256"/>
      <c r="N392" s="256"/>
      <c r="O392" s="256"/>
      <c r="P392" s="256"/>
      <c r="Q392" s="256"/>
      <c r="R392" s="256"/>
      <c r="S392" s="208"/>
      <c r="T392" s="256"/>
      <c r="U392" s="256"/>
      <c r="V392" s="256"/>
      <c r="W392" s="256"/>
      <c r="X392" s="237"/>
      <c r="Y392" s="256"/>
      <c r="Z392" s="256"/>
      <c r="AA392" s="256"/>
      <c r="AB392" s="256"/>
      <c r="AC392" s="256"/>
      <c r="AD392" s="256"/>
      <c r="AE392" s="256"/>
      <c r="AF392" s="256"/>
      <c r="AG392" s="256"/>
      <c r="AH392" s="256"/>
      <c r="AI392" s="256"/>
      <c r="AJ392" s="256"/>
      <c r="AK392" s="237"/>
      <c r="AL392" s="56"/>
      <c r="AM392" s="56"/>
      <c r="AN392" s="56"/>
      <c r="AO392" s="56"/>
      <c r="AP392" s="56"/>
      <c r="AQ392" s="56"/>
      <c r="AR392" s="56"/>
      <c r="AS392" s="56"/>
      <c r="AT392" s="56"/>
      <c r="AU392" s="56"/>
      <c r="AV392" s="56"/>
      <c r="AW392" s="56"/>
      <c r="AX392" s="56"/>
      <c r="AY392" s="208"/>
      <c r="AZ392" s="211"/>
    </row>
    <row r="393" ht="18" customHeight="1" hidden="1">
      <c r="A393" s="207"/>
      <c r="B393" s="208"/>
      <c r="C393" s="56"/>
      <c r="D393" s="56"/>
      <c r="E393" s="56"/>
      <c r="F393" s="56"/>
      <c r="G393" s="56"/>
      <c r="H393" s="56"/>
      <c r="I393" s="56"/>
      <c r="J393" s="56"/>
      <c r="K393" s="56"/>
      <c r="L393" s="256"/>
      <c r="M393" s="256"/>
      <c r="N393" s="256"/>
      <c r="O393" s="256"/>
      <c r="P393" s="256"/>
      <c r="Q393" s="256"/>
      <c r="R393" s="256"/>
      <c r="S393" s="208"/>
      <c r="T393" s="256"/>
      <c r="U393" s="256"/>
      <c r="V393" s="256"/>
      <c r="W393" s="256"/>
      <c r="X393" s="237"/>
      <c r="Y393" s="256"/>
      <c r="Z393" s="256"/>
      <c r="AA393" s="256"/>
      <c r="AB393" s="256"/>
      <c r="AC393" s="256"/>
      <c r="AD393" s="256"/>
      <c r="AE393" s="256"/>
      <c r="AF393" s="256"/>
      <c r="AG393" s="256"/>
      <c r="AH393" s="256"/>
      <c r="AI393" s="256"/>
      <c r="AJ393" s="256"/>
      <c r="AK393" s="237"/>
      <c r="AL393" s="56"/>
      <c r="AM393" s="56"/>
      <c r="AN393" s="56"/>
      <c r="AO393" s="56"/>
      <c r="AP393" s="56"/>
      <c r="AQ393" s="56"/>
      <c r="AR393" s="56"/>
      <c r="AS393" s="56"/>
      <c r="AT393" s="56"/>
      <c r="AU393" s="56"/>
      <c r="AV393" s="56"/>
      <c r="AW393" s="56"/>
      <c r="AX393" s="56"/>
      <c r="AY393" s="208"/>
      <c r="AZ393" s="211"/>
    </row>
    <row r="394" ht="18" customHeight="1" hidden="1">
      <c r="A394" s="207"/>
      <c r="B394" s="208"/>
      <c r="C394" s="56"/>
      <c r="D394" s="56"/>
      <c r="E394" s="56"/>
      <c r="F394" s="56"/>
      <c r="G394" s="56"/>
      <c r="H394" s="56"/>
      <c r="I394" s="56"/>
      <c r="J394" s="56"/>
      <c r="K394" s="56"/>
      <c r="L394" s="256"/>
      <c r="M394" s="256"/>
      <c r="N394" s="256"/>
      <c r="O394" s="256"/>
      <c r="P394" s="256"/>
      <c r="Q394" s="256"/>
      <c r="R394" s="256"/>
      <c r="S394" s="208"/>
      <c r="T394" s="256"/>
      <c r="U394" s="256"/>
      <c r="V394" s="256"/>
      <c r="W394" s="256"/>
      <c r="X394" s="237"/>
      <c r="Y394" s="256"/>
      <c r="Z394" s="256"/>
      <c r="AA394" s="256"/>
      <c r="AB394" s="256"/>
      <c r="AC394" s="256"/>
      <c r="AD394" s="256"/>
      <c r="AE394" s="256"/>
      <c r="AF394" s="256"/>
      <c r="AG394" s="256"/>
      <c r="AH394" s="256"/>
      <c r="AI394" s="256"/>
      <c r="AJ394" s="256"/>
      <c r="AK394" s="237"/>
      <c r="AL394" s="56"/>
      <c r="AM394" s="56"/>
      <c r="AN394" s="56"/>
      <c r="AO394" s="56"/>
      <c r="AP394" s="56"/>
      <c r="AQ394" s="56"/>
      <c r="AR394" s="56"/>
      <c r="AS394" s="56"/>
      <c r="AT394" s="56"/>
      <c r="AU394" s="56"/>
      <c r="AV394" s="56"/>
      <c r="AW394" s="56"/>
      <c r="AX394" s="56"/>
      <c r="AY394" s="208"/>
      <c r="AZ394" s="211"/>
    </row>
    <row r="395" ht="18" customHeight="1" hidden="1">
      <c r="A395" s="207"/>
      <c r="B395" s="208"/>
      <c r="C395" s="56"/>
      <c r="D395" s="56"/>
      <c r="E395" s="56"/>
      <c r="F395" s="56"/>
      <c r="G395" s="56"/>
      <c r="H395" s="56"/>
      <c r="I395" s="56"/>
      <c r="J395" s="56"/>
      <c r="K395" s="56"/>
      <c r="L395" s="256"/>
      <c r="M395" s="256"/>
      <c r="N395" s="256"/>
      <c r="O395" s="256"/>
      <c r="P395" s="256"/>
      <c r="Q395" s="256"/>
      <c r="R395" s="256"/>
      <c r="S395" s="208"/>
      <c r="T395" s="256"/>
      <c r="U395" s="256"/>
      <c r="V395" s="256"/>
      <c r="W395" s="256"/>
      <c r="X395" s="237"/>
      <c r="Y395" s="256"/>
      <c r="Z395" s="256"/>
      <c r="AA395" s="256"/>
      <c r="AB395" s="256"/>
      <c r="AC395" s="256"/>
      <c r="AD395" s="256"/>
      <c r="AE395" s="256"/>
      <c r="AF395" s="256"/>
      <c r="AG395" s="256"/>
      <c r="AH395" s="256"/>
      <c r="AI395" s="256"/>
      <c r="AJ395" s="256"/>
      <c r="AK395" s="237"/>
      <c r="AL395" s="56"/>
      <c r="AM395" s="56"/>
      <c r="AN395" s="56"/>
      <c r="AO395" s="56"/>
      <c r="AP395" s="56"/>
      <c r="AQ395" s="56"/>
      <c r="AR395" s="56"/>
      <c r="AS395" s="56"/>
      <c r="AT395" s="56"/>
      <c r="AU395" s="56"/>
      <c r="AV395" s="56"/>
      <c r="AW395" s="56"/>
      <c r="AX395" s="56"/>
      <c r="AY395" s="208"/>
      <c r="AZ395" s="211"/>
    </row>
    <row r="396" ht="18" customHeight="1" hidden="1">
      <c r="A396" s="207"/>
      <c r="B396" s="208"/>
      <c r="C396" s="56"/>
      <c r="D396" s="56"/>
      <c r="E396" s="56"/>
      <c r="F396" s="56"/>
      <c r="G396" s="56"/>
      <c r="H396" s="56"/>
      <c r="I396" s="56"/>
      <c r="J396" s="56"/>
      <c r="K396" s="56"/>
      <c r="L396" s="256"/>
      <c r="M396" s="256"/>
      <c r="N396" s="256"/>
      <c r="O396" s="256"/>
      <c r="P396" s="256"/>
      <c r="Q396" s="256"/>
      <c r="R396" s="256"/>
      <c r="S396" s="208"/>
      <c r="T396" s="256"/>
      <c r="U396" s="256"/>
      <c r="V396" s="256"/>
      <c r="W396" s="256"/>
      <c r="X396" s="237"/>
      <c r="Y396" s="256"/>
      <c r="Z396" s="256"/>
      <c r="AA396" s="256"/>
      <c r="AB396" s="256"/>
      <c r="AC396" s="256"/>
      <c r="AD396" s="256"/>
      <c r="AE396" s="256"/>
      <c r="AF396" s="256"/>
      <c r="AG396" s="256"/>
      <c r="AH396" s="256"/>
      <c r="AI396" s="256"/>
      <c r="AJ396" s="256"/>
      <c r="AK396" s="237"/>
      <c r="AL396" s="56"/>
      <c r="AM396" s="56"/>
      <c r="AN396" s="56"/>
      <c r="AO396" s="56"/>
      <c r="AP396" s="56"/>
      <c r="AQ396" s="56"/>
      <c r="AR396" s="56"/>
      <c r="AS396" s="56"/>
      <c r="AT396" s="56"/>
      <c r="AU396" s="56"/>
      <c r="AV396" s="56"/>
      <c r="AW396" s="56"/>
      <c r="AX396" s="56"/>
      <c r="AY396" s="208"/>
      <c r="AZ396" s="211"/>
    </row>
    <row r="397" ht="18" customHeight="1" hidden="1">
      <c r="A397" s="207"/>
      <c r="B397" s="208"/>
      <c r="C397" s="56"/>
      <c r="D397" s="56"/>
      <c r="E397" s="56"/>
      <c r="F397" s="56"/>
      <c r="G397" s="56"/>
      <c r="H397" s="56"/>
      <c r="I397" s="56"/>
      <c r="J397" s="56"/>
      <c r="K397" s="56"/>
      <c r="L397" s="256"/>
      <c r="M397" s="256"/>
      <c r="N397" s="256"/>
      <c r="O397" s="256"/>
      <c r="P397" s="256"/>
      <c r="Q397" s="256"/>
      <c r="R397" s="256"/>
      <c r="S397" s="208"/>
      <c r="T397" s="256"/>
      <c r="U397" s="256"/>
      <c r="V397" s="256"/>
      <c r="W397" s="256"/>
      <c r="X397" s="237"/>
      <c r="Y397" s="256"/>
      <c r="Z397" s="256"/>
      <c r="AA397" s="256"/>
      <c r="AB397" s="256"/>
      <c r="AC397" s="256"/>
      <c r="AD397" s="256"/>
      <c r="AE397" s="256"/>
      <c r="AF397" s="256"/>
      <c r="AG397" s="256"/>
      <c r="AH397" s="256"/>
      <c r="AI397" s="256"/>
      <c r="AJ397" s="256"/>
      <c r="AK397" s="237"/>
      <c r="AL397" s="56"/>
      <c r="AM397" s="56"/>
      <c r="AN397" s="56"/>
      <c r="AO397" s="56"/>
      <c r="AP397" s="56"/>
      <c r="AQ397" s="56"/>
      <c r="AR397" s="56"/>
      <c r="AS397" s="56"/>
      <c r="AT397" s="56"/>
      <c r="AU397" s="56"/>
      <c r="AV397" s="56"/>
      <c r="AW397" s="56"/>
      <c r="AX397" s="56"/>
      <c r="AY397" s="208"/>
      <c r="AZ397" s="211"/>
    </row>
    <row r="398" ht="18" customHeight="1" hidden="1">
      <c r="A398" s="207"/>
      <c r="B398" s="208"/>
      <c r="C398" s="56"/>
      <c r="D398" s="56"/>
      <c r="E398" s="56"/>
      <c r="F398" s="56"/>
      <c r="G398" s="56"/>
      <c r="H398" s="56"/>
      <c r="I398" s="56"/>
      <c r="J398" s="56"/>
      <c r="K398" s="56"/>
      <c r="L398" s="256"/>
      <c r="M398" s="256"/>
      <c r="N398" s="256"/>
      <c r="O398" s="256"/>
      <c r="P398" s="256"/>
      <c r="Q398" s="256"/>
      <c r="R398" s="256"/>
      <c r="S398" s="208"/>
      <c r="T398" s="256"/>
      <c r="U398" s="256"/>
      <c r="V398" s="256"/>
      <c r="W398" s="256"/>
      <c r="X398" s="237"/>
      <c r="Y398" s="256"/>
      <c r="Z398" s="256"/>
      <c r="AA398" s="256"/>
      <c r="AB398" s="256"/>
      <c r="AC398" s="256"/>
      <c r="AD398" s="256"/>
      <c r="AE398" s="256"/>
      <c r="AF398" s="256"/>
      <c r="AG398" s="256"/>
      <c r="AH398" s="256"/>
      <c r="AI398" s="256"/>
      <c r="AJ398" s="256"/>
      <c r="AK398" s="237"/>
      <c r="AL398" s="56"/>
      <c r="AM398" s="56"/>
      <c r="AN398" s="56"/>
      <c r="AO398" s="56"/>
      <c r="AP398" s="56"/>
      <c r="AQ398" s="56"/>
      <c r="AR398" s="56"/>
      <c r="AS398" s="56"/>
      <c r="AT398" s="56"/>
      <c r="AU398" s="56"/>
      <c r="AV398" s="56"/>
      <c r="AW398" s="56"/>
      <c r="AX398" s="56"/>
      <c r="AY398" s="208"/>
      <c r="AZ398" s="211"/>
    </row>
    <row r="399" ht="18" customHeight="1" hidden="1">
      <c r="A399" s="207"/>
      <c r="B399" s="208"/>
      <c r="C399" s="56"/>
      <c r="D399" s="56"/>
      <c r="E399" s="56"/>
      <c r="F399" s="56"/>
      <c r="G399" s="56"/>
      <c r="H399" s="56"/>
      <c r="I399" s="56"/>
      <c r="J399" s="56"/>
      <c r="K399" s="56"/>
      <c r="L399" s="256"/>
      <c r="M399" s="256"/>
      <c r="N399" s="256"/>
      <c r="O399" s="256"/>
      <c r="P399" s="256"/>
      <c r="Q399" s="256"/>
      <c r="R399" s="256"/>
      <c r="S399" s="208"/>
      <c r="T399" s="256"/>
      <c r="U399" s="256"/>
      <c r="V399" s="256"/>
      <c r="W399" s="256"/>
      <c r="X399" s="237"/>
      <c r="Y399" s="256"/>
      <c r="Z399" s="256"/>
      <c r="AA399" s="256"/>
      <c r="AB399" s="256"/>
      <c r="AC399" s="256"/>
      <c r="AD399" s="256"/>
      <c r="AE399" s="256"/>
      <c r="AF399" s="256"/>
      <c r="AG399" s="256"/>
      <c r="AH399" s="256"/>
      <c r="AI399" s="256"/>
      <c r="AJ399" s="256"/>
      <c r="AK399" s="237"/>
      <c r="AL399" s="56"/>
      <c r="AM399" s="56"/>
      <c r="AN399" s="56"/>
      <c r="AO399" s="56"/>
      <c r="AP399" s="56"/>
      <c r="AQ399" s="56"/>
      <c r="AR399" s="56"/>
      <c r="AS399" s="56"/>
      <c r="AT399" s="56"/>
      <c r="AU399" s="56"/>
      <c r="AV399" s="56"/>
      <c r="AW399" s="56"/>
      <c r="AX399" s="56"/>
      <c r="AY399" s="208"/>
      <c r="AZ399" s="211"/>
    </row>
    <row r="400" ht="18" customHeight="1" hidden="1">
      <c r="A400" s="190">
        <v>43436</v>
      </c>
      <c r="B400" s="208"/>
      <c r="C400" s="56"/>
      <c r="D400" s="56"/>
      <c r="E400" s="56"/>
      <c r="F400" s="56"/>
      <c r="G400" s="56"/>
      <c r="H400" s="56"/>
      <c r="I400" s="56"/>
      <c r="J400" s="56"/>
      <c r="K400" s="56"/>
      <c r="L400" s="256"/>
      <c r="M400" s="256"/>
      <c r="N400" s="256"/>
      <c r="O400" s="256"/>
      <c r="P400" s="256"/>
      <c r="Q400" s="256"/>
      <c r="R400" s="256"/>
      <c r="S400" s="208"/>
      <c r="T400" s="256"/>
      <c r="U400" s="256"/>
      <c r="V400" s="256"/>
      <c r="W400" s="256"/>
      <c r="X400" s="237"/>
      <c r="Y400" s="256"/>
      <c r="Z400" s="256"/>
      <c r="AA400" s="256"/>
      <c r="AB400" s="256"/>
      <c r="AC400" s="256"/>
      <c r="AD400" s="256"/>
      <c r="AE400" s="256"/>
      <c r="AF400" s="256"/>
      <c r="AG400" s="256"/>
      <c r="AH400" s="256"/>
      <c r="AI400" s="256"/>
      <c r="AJ400" s="256"/>
      <c r="AK400" s="237"/>
      <c r="AL400" s="56"/>
      <c r="AM400" s="56"/>
      <c r="AN400" s="56"/>
      <c r="AO400" s="56"/>
      <c r="AP400" s="56"/>
      <c r="AQ400" s="56"/>
      <c r="AR400" s="56"/>
      <c r="AS400" s="56"/>
      <c r="AT400" s="56"/>
      <c r="AU400" s="56"/>
      <c r="AV400" s="56"/>
      <c r="AW400" s="56"/>
      <c r="AX400" s="56"/>
      <c r="AY400" s="208"/>
      <c r="AZ400" s="211"/>
    </row>
    <row r="401" ht="18" customHeight="1" hidden="1">
      <c r="A401" s="190">
        <v>42975</v>
      </c>
      <c r="B401" s="208"/>
      <c r="C401" s="56"/>
      <c r="D401" s="56"/>
      <c r="E401" s="56"/>
      <c r="F401" s="56"/>
      <c r="G401" s="56"/>
      <c r="H401" s="56"/>
      <c r="I401" s="56"/>
      <c r="J401" s="56"/>
      <c r="K401" s="56"/>
      <c r="L401" s="256"/>
      <c r="M401" s="256"/>
      <c r="N401" s="256"/>
      <c r="O401" s="256"/>
      <c r="P401" s="256"/>
      <c r="Q401" s="256"/>
      <c r="R401" s="256"/>
      <c r="S401" s="208"/>
      <c r="T401" s="256"/>
      <c r="U401" s="256"/>
      <c r="V401" s="256"/>
      <c r="W401" s="256"/>
      <c r="X401" s="237"/>
      <c r="Y401" s="256"/>
      <c r="Z401" s="256"/>
      <c r="AA401" s="256"/>
      <c r="AB401" s="256"/>
      <c r="AC401" s="256"/>
      <c r="AD401" s="256"/>
      <c r="AE401" s="256"/>
      <c r="AF401" s="256"/>
      <c r="AG401" s="256"/>
      <c r="AH401" s="256"/>
      <c r="AI401" s="256"/>
      <c r="AJ401" s="256"/>
      <c r="AK401" s="237"/>
      <c r="AL401" s="56"/>
      <c r="AM401" s="56"/>
      <c r="AN401" s="56"/>
      <c r="AO401" s="56"/>
      <c r="AP401" s="56"/>
      <c r="AQ401" s="56"/>
      <c r="AR401" s="56"/>
      <c r="AS401" s="56"/>
      <c r="AT401" s="56"/>
      <c r="AU401" s="56"/>
      <c r="AV401" s="56"/>
      <c r="AW401" s="56"/>
      <c r="AX401" s="56"/>
      <c r="AY401" s="208"/>
      <c r="AZ401" s="211"/>
    </row>
    <row r="402" ht="18" customHeight="1" hidden="1">
      <c r="A402" s="190">
        <v>42949</v>
      </c>
      <c r="B402" s="208"/>
      <c r="C402" s="56"/>
      <c r="D402" s="56"/>
      <c r="E402" s="56"/>
      <c r="F402" s="56"/>
      <c r="G402" s="56"/>
      <c r="H402" s="56"/>
      <c r="I402" s="56"/>
      <c r="J402" s="56"/>
      <c r="K402" s="56"/>
      <c r="L402" s="256"/>
      <c r="M402" s="256"/>
      <c r="N402" s="256"/>
      <c r="O402" s="256"/>
      <c r="P402" s="256"/>
      <c r="Q402" s="256"/>
      <c r="R402" s="256"/>
      <c r="S402" s="208"/>
      <c r="T402" s="256"/>
      <c r="U402" s="256"/>
      <c r="V402" s="256"/>
      <c r="W402" s="256"/>
      <c r="X402" s="237"/>
      <c r="Y402" s="256"/>
      <c r="Z402" s="256"/>
      <c r="AA402" s="256"/>
      <c r="AB402" s="256"/>
      <c r="AC402" s="256"/>
      <c r="AD402" s="256"/>
      <c r="AE402" s="256"/>
      <c r="AF402" s="256"/>
      <c r="AG402" s="256"/>
      <c r="AH402" s="256"/>
      <c r="AI402" s="256"/>
      <c r="AJ402" s="256"/>
      <c r="AK402" s="237"/>
      <c r="AL402" s="56"/>
      <c r="AM402" s="56"/>
      <c r="AN402" s="56"/>
      <c r="AO402" s="56"/>
      <c r="AP402" s="56"/>
      <c r="AQ402" s="56"/>
      <c r="AR402" s="56"/>
      <c r="AS402" s="56"/>
      <c r="AT402" s="56"/>
      <c r="AU402" s="56"/>
      <c r="AV402" s="56"/>
      <c r="AW402" s="56"/>
      <c r="AX402" s="56"/>
      <c r="AY402" s="208"/>
      <c r="AZ402" s="211"/>
    </row>
    <row r="403" ht="18" customHeight="1" hidden="1">
      <c r="A403" s="190">
        <v>42892</v>
      </c>
      <c r="B403" s="208"/>
      <c r="C403" s="56"/>
      <c r="D403" s="56"/>
      <c r="E403" s="56"/>
      <c r="F403" s="56"/>
      <c r="G403" s="56"/>
      <c r="H403" s="56"/>
      <c r="I403" s="56"/>
      <c r="J403" s="56"/>
      <c r="K403" s="56"/>
      <c r="L403" s="256"/>
      <c r="M403" s="256"/>
      <c r="N403" s="256"/>
      <c r="O403" s="256"/>
      <c r="P403" s="256"/>
      <c r="Q403" s="256"/>
      <c r="R403" s="256"/>
      <c r="S403" s="208"/>
      <c r="T403" s="256"/>
      <c r="U403" s="256"/>
      <c r="V403" s="256"/>
      <c r="W403" s="256"/>
      <c r="X403" s="237"/>
      <c r="Y403" s="256"/>
      <c r="Z403" s="256"/>
      <c r="AA403" s="256"/>
      <c r="AB403" s="256"/>
      <c r="AC403" s="256"/>
      <c r="AD403" s="256"/>
      <c r="AE403" s="256"/>
      <c r="AF403" s="256"/>
      <c r="AG403" s="256"/>
      <c r="AH403" s="256"/>
      <c r="AI403" s="256"/>
      <c r="AJ403" s="256"/>
      <c r="AK403" s="237"/>
      <c r="AL403" s="56"/>
      <c r="AM403" s="56"/>
      <c r="AN403" s="56"/>
      <c r="AO403" s="56"/>
      <c r="AP403" s="56"/>
      <c r="AQ403" s="56"/>
      <c r="AR403" s="56"/>
      <c r="AS403" s="56"/>
      <c r="AT403" s="56"/>
      <c r="AU403" s="56"/>
      <c r="AV403" s="56"/>
      <c r="AW403" s="56"/>
      <c r="AX403" s="56"/>
      <c r="AY403" s="208"/>
      <c r="AZ403" s="211"/>
    </row>
    <row r="404" ht="18" customHeight="1" hidden="1">
      <c r="A404" s="190">
        <v>41343</v>
      </c>
      <c r="B404" s="208"/>
      <c r="C404" s="56"/>
      <c r="D404" s="56"/>
      <c r="E404" s="56"/>
      <c r="F404" s="56"/>
      <c r="G404" s="56"/>
      <c r="H404" s="56"/>
      <c r="I404" s="56"/>
      <c r="J404" s="56"/>
      <c r="K404" s="56"/>
      <c r="L404" s="256"/>
      <c r="M404" s="256"/>
      <c r="N404" s="256"/>
      <c r="O404" s="256"/>
      <c r="P404" s="256"/>
      <c r="Q404" s="256"/>
      <c r="R404" s="256"/>
      <c r="S404" s="208"/>
      <c r="T404" s="256"/>
      <c r="U404" s="256"/>
      <c r="V404" s="256"/>
      <c r="W404" s="256"/>
      <c r="X404" s="237"/>
      <c r="Y404" s="256"/>
      <c r="Z404" s="256"/>
      <c r="AA404" s="256"/>
      <c r="AB404" s="256"/>
      <c r="AC404" s="256"/>
      <c r="AD404" s="256"/>
      <c r="AE404" s="256"/>
      <c r="AF404" s="256"/>
      <c r="AG404" s="256"/>
      <c r="AH404" s="256"/>
      <c r="AI404" s="256"/>
      <c r="AJ404" s="256"/>
      <c r="AK404" s="237"/>
      <c r="AL404" s="56"/>
      <c r="AM404" s="56"/>
      <c r="AN404" s="56"/>
      <c r="AO404" s="56"/>
      <c r="AP404" s="56"/>
      <c r="AQ404" s="56"/>
      <c r="AR404" s="56"/>
      <c r="AS404" s="56"/>
      <c r="AT404" s="56"/>
      <c r="AU404" s="56"/>
      <c r="AV404" s="56"/>
      <c r="AW404" s="56"/>
      <c r="AX404" s="56"/>
      <c r="AY404" s="208"/>
      <c r="AZ404" s="211"/>
    </row>
    <row r="405" ht="18" customHeight="1" hidden="1">
      <c r="A405" s="207"/>
      <c r="B405" s="208"/>
      <c r="C405" s="56"/>
      <c r="D405" s="56"/>
      <c r="E405" s="56"/>
      <c r="F405" s="56"/>
      <c r="G405" s="56"/>
      <c r="H405" s="56"/>
      <c r="I405" s="56"/>
      <c r="J405" s="56"/>
      <c r="K405" s="56"/>
      <c r="L405" s="256"/>
      <c r="M405" s="256"/>
      <c r="N405" s="256"/>
      <c r="O405" s="256"/>
      <c r="P405" s="256"/>
      <c r="Q405" s="256"/>
      <c r="R405" s="256"/>
      <c r="S405" s="208"/>
      <c r="T405" s="256"/>
      <c r="U405" s="256"/>
      <c r="V405" s="256"/>
      <c r="W405" s="256"/>
      <c r="X405" s="237"/>
      <c r="Y405" s="256"/>
      <c r="Z405" s="256"/>
      <c r="AA405" s="256"/>
      <c r="AB405" s="256"/>
      <c r="AC405" s="256"/>
      <c r="AD405" s="256"/>
      <c r="AE405" s="256"/>
      <c r="AF405" s="256"/>
      <c r="AG405" s="256"/>
      <c r="AH405" s="256"/>
      <c r="AI405" s="256"/>
      <c r="AJ405" s="256"/>
      <c r="AK405" s="237"/>
      <c r="AL405" s="56"/>
      <c r="AM405" s="56"/>
      <c r="AN405" s="56"/>
      <c r="AO405" s="56"/>
      <c r="AP405" s="56"/>
      <c r="AQ405" s="56"/>
      <c r="AR405" s="56"/>
      <c r="AS405" s="56"/>
      <c r="AT405" s="56"/>
      <c r="AU405" s="56"/>
      <c r="AV405" s="56"/>
      <c r="AW405" s="56"/>
      <c r="AX405" s="56"/>
      <c r="AY405" s="208"/>
      <c r="AZ405" s="211"/>
    </row>
    <row r="406" ht="18" customHeight="1" hidden="1">
      <c r="A406" s="190">
        <v>40323</v>
      </c>
      <c r="B406" s="208"/>
      <c r="C406" s="56"/>
      <c r="D406" s="56"/>
      <c r="E406" s="56"/>
      <c r="F406" s="56"/>
      <c r="G406" s="56"/>
      <c r="H406" s="56"/>
      <c r="I406" s="56"/>
      <c r="J406" s="56"/>
      <c r="K406" s="56"/>
      <c r="L406" s="256"/>
      <c r="M406" s="256"/>
      <c r="N406" s="256"/>
      <c r="O406" s="256"/>
      <c r="P406" s="256"/>
      <c r="Q406" s="256"/>
      <c r="R406" s="256"/>
      <c r="S406" s="208"/>
      <c r="T406" s="256"/>
      <c r="U406" s="256"/>
      <c r="V406" s="256"/>
      <c r="W406" s="256"/>
      <c r="X406" s="237"/>
      <c r="Y406" s="256"/>
      <c r="Z406" s="256"/>
      <c r="AA406" s="256"/>
      <c r="AB406" s="256"/>
      <c r="AC406" s="256"/>
      <c r="AD406" s="256"/>
      <c r="AE406" s="256"/>
      <c r="AF406" s="256"/>
      <c r="AG406" s="256"/>
      <c r="AH406" s="256"/>
      <c r="AI406" s="256"/>
      <c r="AJ406" s="256"/>
      <c r="AK406" s="237"/>
      <c r="AL406" s="56"/>
      <c r="AM406" s="56"/>
      <c r="AN406" s="56"/>
      <c r="AO406" s="56"/>
      <c r="AP406" s="56"/>
      <c r="AQ406" s="56"/>
      <c r="AR406" s="56"/>
      <c r="AS406" s="56"/>
      <c r="AT406" s="56"/>
      <c r="AU406" s="56"/>
      <c r="AV406" s="56"/>
      <c r="AW406" s="56"/>
      <c r="AX406" s="56"/>
      <c r="AY406" s="208"/>
      <c r="AZ406" s="211"/>
    </row>
    <row r="407" ht="18" customHeight="1" hidden="1">
      <c r="A407" s="207"/>
      <c r="B407" s="208"/>
      <c r="C407" s="56"/>
      <c r="D407" s="56"/>
      <c r="E407" s="56"/>
      <c r="F407" s="56"/>
      <c r="G407" s="56"/>
      <c r="H407" s="56"/>
      <c r="I407" s="56"/>
      <c r="J407" s="56"/>
      <c r="K407" s="56"/>
      <c r="L407" s="256"/>
      <c r="M407" s="256"/>
      <c r="N407" s="256"/>
      <c r="O407" s="256"/>
      <c r="P407" s="256"/>
      <c r="Q407" s="256"/>
      <c r="R407" s="256"/>
      <c r="S407" s="208"/>
      <c r="T407" s="256"/>
      <c r="U407" s="256"/>
      <c r="V407" s="256"/>
      <c r="W407" s="256"/>
      <c r="X407" s="237"/>
      <c r="Y407" s="256"/>
      <c r="Z407" s="256"/>
      <c r="AA407" s="256"/>
      <c r="AB407" s="256"/>
      <c r="AC407" s="256"/>
      <c r="AD407" s="256"/>
      <c r="AE407" s="256"/>
      <c r="AF407" s="256"/>
      <c r="AG407" s="256"/>
      <c r="AH407" s="256"/>
      <c r="AI407" s="256"/>
      <c r="AJ407" s="256"/>
      <c r="AK407" s="237"/>
      <c r="AL407" s="56"/>
      <c r="AM407" s="56"/>
      <c r="AN407" s="56"/>
      <c r="AO407" s="56"/>
      <c r="AP407" s="56"/>
      <c r="AQ407" s="56"/>
      <c r="AR407" s="56"/>
      <c r="AS407" s="56"/>
      <c r="AT407" s="56"/>
      <c r="AU407" s="56"/>
      <c r="AV407" s="56"/>
      <c r="AW407" s="56"/>
      <c r="AX407" s="56"/>
      <c r="AY407" s="208"/>
      <c r="AZ407" s="211"/>
    </row>
    <row r="408" ht="18" customHeight="1" hidden="1">
      <c r="A408" s="207"/>
      <c r="B408" s="208"/>
      <c r="C408" s="56"/>
      <c r="D408" s="56"/>
      <c r="E408" s="56"/>
      <c r="F408" s="56"/>
      <c r="G408" s="56"/>
      <c r="H408" s="56"/>
      <c r="I408" s="56"/>
      <c r="J408" s="56"/>
      <c r="K408" s="56"/>
      <c r="L408" s="256"/>
      <c r="M408" s="256"/>
      <c r="N408" s="256"/>
      <c r="O408" s="256"/>
      <c r="P408" s="256"/>
      <c r="Q408" s="256"/>
      <c r="R408" s="256"/>
      <c r="S408" s="208"/>
      <c r="T408" s="256"/>
      <c r="U408" s="256"/>
      <c r="V408" s="256"/>
      <c r="W408" s="256"/>
      <c r="X408" s="237"/>
      <c r="Y408" s="256"/>
      <c r="Z408" s="256"/>
      <c r="AA408" s="256"/>
      <c r="AB408" s="256"/>
      <c r="AC408" s="256"/>
      <c r="AD408" s="256"/>
      <c r="AE408" s="256"/>
      <c r="AF408" s="256"/>
      <c r="AG408" s="256"/>
      <c r="AH408" s="256"/>
      <c r="AI408" s="256"/>
      <c r="AJ408" s="256"/>
      <c r="AK408" s="237"/>
      <c r="AL408" s="56"/>
      <c r="AM408" s="56"/>
      <c r="AN408" s="56"/>
      <c r="AO408" s="56"/>
      <c r="AP408" s="56"/>
      <c r="AQ408" s="56"/>
      <c r="AR408" s="56"/>
      <c r="AS408" s="56"/>
      <c r="AT408" s="56"/>
      <c r="AU408" s="56"/>
      <c r="AV408" s="56"/>
      <c r="AW408" s="56"/>
      <c r="AX408" s="56"/>
      <c r="AY408" s="208"/>
      <c r="AZ408" s="211"/>
    </row>
    <row r="409" ht="18" customHeight="1" hidden="1">
      <c r="A409" s="207"/>
      <c r="B409" s="208"/>
      <c r="C409" s="56"/>
      <c r="D409" s="56"/>
      <c r="E409" s="56"/>
      <c r="F409" s="56"/>
      <c r="G409" s="56"/>
      <c r="H409" s="56"/>
      <c r="I409" s="56"/>
      <c r="J409" s="56"/>
      <c r="K409" s="56"/>
      <c r="L409" s="256"/>
      <c r="M409" s="256"/>
      <c r="N409" s="256"/>
      <c r="O409" s="256"/>
      <c r="P409" s="256"/>
      <c r="Q409" s="256"/>
      <c r="R409" s="256"/>
      <c r="S409" s="208"/>
      <c r="T409" s="256"/>
      <c r="U409" s="256"/>
      <c r="V409" s="256"/>
      <c r="W409" s="256"/>
      <c r="X409" s="237"/>
      <c r="Y409" s="256"/>
      <c r="Z409" s="256"/>
      <c r="AA409" s="256"/>
      <c r="AB409" s="256"/>
      <c r="AC409" s="256"/>
      <c r="AD409" s="256"/>
      <c r="AE409" s="256"/>
      <c r="AF409" s="256"/>
      <c r="AG409" s="256"/>
      <c r="AH409" s="256"/>
      <c r="AI409" s="256"/>
      <c r="AJ409" s="256"/>
      <c r="AK409" s="237"/>
      <c r="AL409" s="56"/>
      <c r="AM409" s="56"/>
      <c r="AN409" s="56"/>
      <c r="AO409" s="56"/>
      <c r="AP409" s="56"/>
      <c r="AQ409" s="56"/>
      <c r="AR409" s="56"/>
      <c r="AS409" s="56"/>
      <c r="AT409" s="56"/>
      <c r="AU409" s="56"/>
      <c r="AV409" s="56"/>
      <c r="AW409" s="56"/>
      <c r="AX409" s="56"/>
      <c r="AY409" s="208"/>
      <c r="AZ409" s="211"/>
    </row>
    <row r="410" ht="18" customHeight="1" hidden="1">
      <c r="A410" s="207"/>
      <c r="B410" s="208"/>
      <c r="C410" s="56"/>
      <c r="D410" s="56"/>
      <c r="E410" s="56"/>
      <c r="F410" s="56"/>
      <c r="G410" s="56"/>
      <c r="H410" s="56"/>
      <c r="I410" s="56"/>
      <c r="J410" s="56"/>
      <c r="K410" s="56"/>
      <c r="L410" s="256"/>
      <c r="M410" s="256"/>
      <c r="N410" s="256"/>
      <c r="O410" s="256"/>
      <c r="P410" s="256"/>
      <c r="Q410" s="256"/>
      <c r="R410" s="256"/>
      <c r="S410" s="208"/>
      <c r="T410" s="256"/>
      <c r="U410" s="256"/>
      <c r="V410" s="256"/>
      <c r="W410" s="256"/>
      <c r="X410" s="237"/>
      <c r="Y410" s="256"/>
      <c r="Z410" s="256"/>
      <c r="AA410" s="256"/>
      <c r="AB410" s="256"/>
      <c r="AC410" s="256"/>
      <c r="AD410" s="256"/>
      <c r="AE410" s="256"/>
      <c r="AF410" s="256"/>
      <c r="AG410" s="256"/>
      <c r="AH410" s="256"/>
      <c r="AI410" s="256"/>
      <c r="AJ410" s="256"/>
      <c r="AK410" s="237"/>
      <c r="AL410" s="56"/>
      <c r="AM410" s="56"/>
      <c r="AN410" s="56"/>
      <c r="AO410" s="56"/>
      <c r="AP410" s="56"/>
      <c r="AQ410" s="56"/>
      <c r="AR410" s="56"/>
      <c r="AS410" s="56"/>
      <c r="AT410" s="56"/>
      <c r="AU410" s="56"/>
      <c r="AV410" s="56"/>
      <c r="AW410" s="56"/>
      <c r="AX410" s="56"/>
      <c r="AY410" s="208"/>
      <c r="AZ410" s="211"/>
    </row>
    <row r="411" ht="18" customHeight="1" hidden="1">
      <c r="A411" s="207"/>
      <c r="B411" s="208"/>
      <c r="C411" s="56"/>
      <c r="D411" s="56"/>
      <c r="E411" s="56"/>
      <c r="F411" s="56"/>
      <c r="G411" s="56"/>
      <c r="H411" s="56"/>
      <c r="I411" s="56"/>
      <c r="J411" s="56"/>
      <c r="K411" s="56"/>
      <c r="L411" s="256"/>
      <c r="M411" s="256"/>
      <c r="N411" s="256"/>
      <c r="O411" s="256"/>
      <c r="P411" s="256"/>
      <c r="Q411" s="256"/>
      <c r="R411" s="256"/>
      <c r="S411" s="208"/>
      <c r="T411" s="256"/>
      <c r="U411" s="256"/>
      <c r="V411" s="256"/>
      <c r="W411" s="256"/>
      <c r="X411" s="237"/>
      <c r="Y411" s="256"/>
      <c r="Z411" s="256"/>
      <c r="AA411" s="256"/>
      <c r="AB411" s="256"/>
      <c r="AC411" s="256"/>
      <c r="AD411" s="256"/>
      <c r="AE411" s="256"/>
      <c r="AF411" s="256"/>
      <c r="AG411" s="256"/>
      <c r="AH411" s="256"/>
      <c r="AI411" s="256"/>
      <c r="AJ411" s="256"/>
      <c r="AK411" s="237"/>
      <c r="AL411" s="56"/>
      <c r="AM411" s="56"/>
      <c r="AN411" s="56"/>
      <c r="AO411" s="56"/>
      <c r="AP411" s="56"/>
      <c r="AQ411" s="56"/>
      <c r="AR411" s="56"/>
      <c r="AS411" s="56"/>
      <c r="AT411" s="56"/>
      <c r="AU411" s="56"/>
      <c r="AV411" s="56"/>
      <c r="AW411" s="56"/>
      <c r="AX411" s="56"/>
      <c r="AY411" s="208"/>
      <c r="AZ411" s="211"/>
    </row>
    <row r="412" ht="18" customHeight="1" hidden="1">
      <c r="A412" s="207"/>
      <c r="B412" s="208"/>
      <c r="C412" s="56"/>
      <c r="D412" s="56"/>
      <c r="E412" s="56"/>
      <c r="F412" s="56"/>
      <c r="G412" s="56"/>
      <c r="H412" s="56"/>
      <c r="I412" s="56"/>
      <c r="J412" s="56"/>
      <c r="K412" s="56"/>
      <c r="L412" s="256"/>
      <c r="M412" s="256"/>
      <c r="N412" s="256"/>
      <c r="O412" s="256"/>
      <c r="P412" s="256"/>
      <c r="Q412" s="256"/>
      <c r="R412" s="256"/>
      <c r="S412" s="208"/>
      <c r="T412" s="256"/>
      <c r="U412" s="256"/>
      <c r="V412" s="256"/>
      <c r="W412" s="256"/>
      <c r="X412" s="237"/>
      <c r="Y412" s="256"/>
      <c r="Z412" s="256"/>
      <c r="AA412" s="256"/>
      <c r="AB412" s="256"/>
      <c r="AC412" s="256"/>
      <c r="AD412" s="256"/>
      <c r="AE412" s="256"/>
      <c r="AF412" s="256"/>
      <c r="AG412" s="256"/>
      <c r="AH412" s="256"/>
      <c r="AI412" s="256"/>
      <c r="AJ412" s="256"/>
      <c r="AK412" s="237"/>
      <c r="AL412" s="56"/>
      <c r="AM412" s="56"/>
      <c r="AN412" s="56"/>
      <c r="AO412" s="56"/>
      <c r="AP412" s="56"/>
      <c r="AQ412" s="56"/>
      <c r="AR412" s="56"/>
      <c r="AS412" s="56"/>
      <c r="AT412" s="56"/>
      <c r="AU412" s="56"/>
      <c r="AV412" s="56"/>
      <c r="AW412" s="56"/>
      <c r="AX412" s="56"/>
      <c r="AY412" s="208"/>
      <c r="AZ412" s="211"/>
    </row>
    <row r="413" ht="18" customHeight="1" hidden="1">
      <c r="A413" s="207"/>
      <c r="B413" s="208"/>
      <c r="C413" s="56"/>
      <c r="D413" s="56"/>
      <c r="E413" s="56"/>
      <c r="F413" s="56"/>
      <c r="G413" s="56"/>
      <c r="H413" s="56"/>
      <c r="I413" s="56"/>
      <c r="J413" s="56"/>
      <c r="K413" s="56"/>
      <c r="L413" s="256"/>
      <c r="M413" s="256"/>
      <c r="N413" s="256"/>
      <c r="O413" s="256"/>
      <c r="P413" s="256"/>
      <c r="Q413" s="256"/>
      <c r="R413" s="256"/>
      <c r="S413" s="208"/>
      <c r="T413" s="256"/>
      <c r="U413" s="256"/>
      <c r="V413" s="256"/>
      <c r="W413" s="256"/>
      <c r="X413" s="237"/>
      <c r="Y413" s="256"/>
      <c r="Z413" s="256"/>
      <c r="AA413" s="256"/>
      <c r="AB413" s="256"/>
      <c r="AC413" s="256"/>
      <c r="AD413" s="256"/>
      <c r="AE413" s="256"/>
      <c r="AF413" s="256"/>
      <c r="AG413" s="256"/>
      <c r="AH413" s="256"/>
      <c r="AI413" s="256"/>
      <c r="AJ413" s="256"/>
      <c r="AK413" s="237"/>
      <c r="AL413" s="56"/>
      <c r="AM413" s="56"/>
      <c r="AN413" s="56"/>
      <c r="AO413" s="56"/>
      <c r="AP413" s="56"/>
      <c r="AQ413" s="56"/>
      <c r="AR413" s="56"/>
      <c r="AS413" s="56"/>
      <c r="AT413" s="56"/>
      <c r="AU413" s="56"/>
      <c r="AV413" s="56"/>
      <c r="AW413" s="56"/>
      <c r="AX413" s="56"/>
      <c r="AY413" s="208"/>
      <c r="AZ413" s="211"/>
    </row>
    <row r="414" ht="18" customHeight="1" hidden="1">
      <c r="A414" s="207"/>
      <c r="B414" s="208"/>
      <c r="C414" s="56"/>
      <c r="D414" s="56"/>
      <c r="E414" s="56"/>
      <c r="F414" s="56"/>
      <c r="G414" s="56"/>
      <c r="H414" s="56"/>
      <c r="I414" s="56"/>
      <c r="J414" s="56"/>
      <c r="K414" s="56"/>
      <c r="L414" s="256"/>
      <c r="M414" s="256"/>
      <c r="N414" s="256"/>
      <c r="O414" s="256"/>
      <c r="P414" s="256"/>
      <c r="Q414" s="256"/>
      <c r="R414" s="256"/>
      <c r="S414" s="208"/>
      <c r="T414" s="256"/>
      <c r="U414" s="256"/>
      <c r="V414" s="256"/>
      <c r="W414" s="256"/>
      <c r="X414" s="237"/>
      <c r="Y414" s="256"/>
      <c r="Z414" s="256"/>
      <c r="AA414" s="256"/>
      <c r="AB414" s="256"/>
      <c r="AC414" s="256"/>
      <c r="AD414" s="256"/>
      <c r="AE414" s="256"/>
      <c r="AF414" s="256"/>
      <c r="AG414" s="256"/>
      <c r="AH414" s="256"/>
      <c r="AI414" s="256"/>
      <c r="AJ414" s="256"/>
      <c r="AK414" s="237"/>
      <c r="AL414" s="56"/>
      <c r="AM414" s="56"/>
      <c r="AN414" s="56"/>
      <c r="AO414" s="56"/>
      <c r="AP414" s="56"/>
      <c r="AQ414" s="56"/>
      <c r="AR414" s="56"/>
      <c r="AS414" s="56"/>
      <c r="AT414" s="56"/>
      <c r="AU414" s="56"/>
      <c r="AV414" s="56"/>
      <c r="AW414" s="56"/>
      <c r="AX414" s="56"/>
      <c r="AY414" s="208"/>
      <c r="AZ414" s="211"/>
    </row>
    <row r="415" ht="18" customHeight="1" hidden="1">
      <c r="A415" s="207"/>
      <c r="B415" s="208"/>
      <c r="C415" s="56"/>
      <c r="D415" s="56"/>
      <c r="E415" s="56"/>
      <c r="F415" s="56"/>
      <c r="G415" s="56"/>
      <c r="H415" s="56"/>
      <c r="I415" s="56"/>
      <c r="J415" s="56"/>
      <c r="K415" s="56"/>
      <c r="L415" s="256"/>
      <c r="M415" s="256"/>
      <c r="N415" s="256"/>
      <c r="O415" s="256"/>
      <c r="P415" s="256"/>
      <c r="Q415" s="256"/>
      <c r="R415" s="256"/>
      <c r="S415" s="208"/>
      <c r="T415" s="256"/>
      <c r="U415" s="256"/>
      <c r="V415" s="256"/>
      <c r="W415" s="256"/>
      <c r="X415" s="237"/>
      <c r="Y415" s="256"/>
      <c r="Z415" s="256"/>
      <c r="AA415" s="256"/>
      <c r="AB415" s="256"/>
      <c r="AC415" s="256"/>
      <c r="AD415" s="256"/>
      <c r="AE415" s="256"/>
      <c r="AF415" s="256"/>
      <c r="AG415" s="256"/>
      <c r="AH415" s="256"/>
      <c r="AI415" s="256"/>
      <c r="AJ415" s="256"/>
      <c r="AK415" s="237"/>
      <c r="AL415" s="56"/>
      <c r="AM415" s="56"/>
      <c r="AN415" s="56"/>
      <c r="AO415" s="56"/>
      <c r="AP415" s="56"/>
      <c r="AQ415" s="56"/>
      <c r="AR415" s="56"/>
      <c r="AS415" s="56"/>
      <c r="AT415" s="56"/>
      <c r="AU415" s="56"/>
      <c r="AV415" s="56"/>
      <c r="AW415" s="56"/>
      <c r="AX415" s="56"/>
      <c r="AY415" s="208"/>
      <c r="AZ415" s="211"/>
    </row>
    <row r="416" ht="18" customHeight="1" hidden="1">
      <c r="A416" s="207"/>
      <c r="B416" s="208"/>
      <c r="C416" s="56"/>
      <c r="D416" s="56"/>
      <c r="E416" s="56"/>
      <c r="F416" s="56"/>
      <c r="G416" s="56"/>
      <c r="H416" s="56"/>
      <c r="I416" s="56"/>
      <c r="J416" s="56"/>
      <c r="K416" s="56"/>
      <c r="L416" s="256"/>
      <c r="M416" s="256"/>
      <c r="N416" s="256"/>
      <c r="O416" s="256"/>
      <c r="P416" s="256"/>
      <c r="Q416" s="256"/>
      <c r="R416" s="256"/>
      <c r="S416" s="208"/>
      <c r="T416" s="256"/>
      <c r="U416" s="256"/>
      <c r="V416" s="256"/>
      <c r="W416" s="256"/>
      <c r="X416" s="237"/>
      <c r="Y416" s="256"/>
      <c r="Z416" s="256"/>
      <c r="AA416" s="256"/>
      <c r="AB416" s="256"/>
      <c r="AC416" s="256"/>
      <c r="AD416" s="256"/>
      <c r="AE416" s="256"/>
      <c r="AF416" s="256"/>
      <c r="AG416" s="256"/>
      <c r="AH416" s="256"/>
      <c r="AI416" s="256"/>
      <c r="AJ416" s="256"/>
      <c r="AK416" s="237"/>
      <c r="AL416" s="56"/>
      <c r="AM416" s="56"/>
      <c r="AN416" s="56"/>
      <c r="AO416" s="56"/>
      <c r="AP416" s="56"/>
      <c r="AQ416" s="56"/>
      <c r="AR416" s="56"/>
      <c r="AS416" s="56"/>
      <c r="AT416" s="56"/>
      <c r="AU416" s="56"/>
      <c r="AV416" s="56"/>
      <c r="AW416" s="56"/>
      <c r="AX416" s="56"/>
      <c r="AY416" s="208"/>
      <c r="AZ416" s="211"/>
    </row>
    <row r="417" ht="18" customHeight="1" hidden="1">
      <c r="A417" s="207"/>
      <c r="B417" s="208"/>
      <c r="C417" s="56"/>
      <c r="D417" s="56"/>
      <c r="E417" s="56"/>
      <c r="F417" s="56"/>
      <c r="G417" s="56"/>
      <c r="H417" s="56"/>
      <c r="I417" s="56"/>
      <c r="J417" s="56"/>
      <c r="K417" s="56"/>
      <c r="L417" s="256"/>
      <c r="M417" s="256"/>
      <c r="N417" s="256"/>
      <c r="O417" s="256"/>
      <c r="P417" s="256"/>
      <c r="Q417" s="256"/>
      <c r="R417" s="256"/>
      <c r="S417" s="208"/>
      <c r="T417" s="256"/>
      <c r="U417" s="256"/>
      <c r="V417" s="256"/>
      <c r="W417" s="256"/>
      <c r="X417" s="237"/>
      <c r="Y417" s="256"/>
      <c r="Z417" s="256"/>
      <c r="AA417" s="256"/>
      <c r="AB417" s="256"/>
      <c r="AC417" s="256"/>
      <c r="AD417" s="256"/>
      <c r="AE417" s="256"/>
      <c r="AF417" s="256"/>
      <c r="AG417" s="256"/>
      <c r="AH417" s="256"/>
      <c r="AI417" s="256"/>
      <c r="AJ417" s="256"/>
      <c r="AK417" s="237"/>
      <c r="AL417" s="56"/>
      <c r="AM417" s="56"/>
      <c r="AN417" s="56"/>
      <c r="AO417" s="56"/>
      <c r="AP417" s="56"/>
      <c r="AQ417" s="56"/>
      <c r="AR417" s="56"/>
      <c r="AS417" s="56"/>
      <c r="AT417" s="56"/>
      <c r="AU417" s="56"/>
      <c r="AV417" s="56"/>
      <c r="AW417" s="56"/>
      <c r="AX417" s="56"/>
      <c r="AY417" s="208"/>
      <c r="AZ417" s="211"/>
    </row>
    <row r="418" ht="18" customHeight="1" hidden="1">
      <c r="A418" s="207"/>
      <c r="B418" s="208"/>
      <c r="C418" s="56"/>
      <c r="D418" s="56"/>
      <c r="E418" s="56"/>
      <c r="F418" s="56"/>
      <c r="G418" s="56"/>
      <c r="H418" s="56"/>
      <c r="I418" s="56"/>
      <c r="J418" s="56"/>
      <c r="K418" s="56"/>
      <c r="L418" s="256"/>
      <c r="M418" s="256"/>
      <c r="N418" s="256"/>
      <c r="O418" s="256"/>
      <c r="P418" s="256"/>
      <c r="Q418" s="256"/>
      <c r="R418" s="256"/>
      <c r="S418" s="208"/>
      <c r="T418" s="256"/>
      <c r="U418" s="256"/>
      <c r="V418" s="256"/>
      <c r="W418" s="256"/>
      <c r="X418" s="237"/>
      <c r="Y418" s="256"/>
      <c r="Z418" s="256"/>
      <c r="AA418" s="256"/>
      <c r="AB418" s="256"/>
      <c r="AC418" s="256"/>
      <c r="AD418" s="256"/>
      <c r="AE418" s="256"/>
      <c r="AF418" s="256"/>
      <c r="AG418" s="256"/>
      <c r="AH418" s="256"/>
      <c r="AI418" s="256"/>
      <c r="AJ418" s="256"/>
      <c r="AK418" s="237"/>
      <c r="AL418" s="56"/>
      <c r="AM418" s="56"/>
      <c r="AN418" s="56"/>
      <c r="AO418" s="56"/>
      <c r="AP418" s="56"/>
      <c r="AQ418" s="56"/>
      <c r="AR418" s="56"/>
      <c r="AS418" s="56"/>
      <c r="AT418" s="56"/>
      <c r="AU418" s="56"/>
      <c r="AV418" s="56"/>
      <c r="AW418" s="56"/>
      <c r="AX418" s="56"/>
      <c r="AY418" s="208"/>
      <c r="AZ418" s="211"/>
    </row>
    <row r="419" ht="18" customHeight="1" hidden="1">
      <c r="A419" s="207"/>
      <c r="B419" s="208"/>
      <c r="C419" s="56"/>
      <c r="D419" s="56"/>
      <c r="E419" s="56"/>
      <c r="F419" s="56"/>
      <c r="G419" s="56"/>
      <c r="H419" s="56"/>
      <c r="I419" s="56"/>
      <c r="J419" s="56"/>
      <c r="K419" s="56"/>
      <c r="L419" s="256"/>
      <c r="M419" s="256"/>
      <c r="N419" s="256"/>
      <c r="O419" s="256"/>
      <c r="P419" s="256"/>
      <c r="Q419" s="256"/>
      <c r="R419" s="256"/>
      <c r="S419" s="208"/>
      <c r="T419" s="256"/>
      <c r="U419" s="256"/>
      <c r="V419" s="256"/>
      <c r="W419" s="256"/>
      <c r="X419" s="237"/>
      <c r="Y419" s="256"/>
      <c r="Z419" s="256"/>
      <c r="AA419" s="256"/>
      <c r="AB419" s="256"/>
      <c r="AC419" s="256"/>
      <c r="AD419" s="256"/>
      <c r="AE419" s="256"/>
      <c r="AF419" s="256"/>
      <c r="AG419" s="256"/>
      <c r="AH419" s="256"/>
      <c r="AI419" s="256"/>
      <c r="AJ419" s="256"/>
      <c r="AK419" s="237"/>
      <c r="AL419" s="56"/>
      <c r="AM419" s="56"/>
      <c r="AN419" s="56"/>
      <c r="AO419" s="56"/>
      <c r="AP419" s="56"/>
      <c r="AQ419" s="56"/>
      <c r="AR419" s="56"/>
      <c r="AS419" s="56"/>
      <c r="AT419" s="56"/>
      <c r="AU419" s="56"/>
      <c r="AV419" s="56"/>
      <c r="AW419" s="56"/>
      <c r="AX419" s="56"/>
      <c r="AY419" s="208"/>
      <c r="AZ419" s="211"/>
    </row>
    <row r="420" ht="18" customHeight="1" hidden="1">
      <c r="A420" s="207"/>
      <c r="B420" s="208"/>
      <c r="C420" s="56"/>
      <c r="D420" s="56"/>
      <c r="E420" s="56"/>
      <c r="F420" s="56"/>
      <c r="G420" s="56"/>
      <c r="H420" s="56"/>
      <c r="I420" s="56"/>
      <c r="J420" s="56"/>
      <c r="K420" s="56"/>
      <c r="L420" s="256"/>
      <c r="M420" s="256"/>
      <c r="N420" s="256"/>
      <c r="O420" s="256"/>
      <c r="P420" s="256"/>
      <c r="Q420" s="256"/>
      <c r="R420" s="256"/>
      <c r="S420" s="208"/>
      <c r="T420" s="256"/>
      <c r="U420" s="256"/>
      <c r="V420" s="256"/>
      <c r="W420" s="256"/>
      <c r="X420" s="237"/>
      <c r="Y420" s="256"/>
      <c r="Z420" s="256"/>
      <c r="AA420" s="256"/>
      <c r="AB420" s="256"/>
      <c r="AC420" s="256"/>
      <c r="AD420" s="256"/>
      <c r="AE420" s="256"/>
      <c r="AF420" s="256"/>
      <c r="AG420" s="256"/>
      <c r="AH420" s="256"/>
      <c r="AI420" s="256"/>
      <c r="AJ420" s="256"/>
      <c r="AK420" s="237"/>
      <c r="AL420" s="56"/>
      <c r="AM420" s="56"/>
      <c r="AN420" s="56"/>
      <c r="AO420" s="56"/>
      <c r="AP420" s="56"/>
      <c r="AQ420" s="56"/>
      <c r="AR420" s="56"/>
      <c r="AS420" s="56"/>
      <c r="AT420" s="56"/>
      <c r="AU420" s="56"/>
      <c r="AV420" s="56"/>
      <c r="AW420" s="56"/>
      <c r="AX420" s="56"/>
      <c r="AY420" s="208"/>
      <c r="AZ420" s="211"/>
    </row>
    <row r="421" ht="18" customHeight="1" hidden="1">
      <c r="A421" s="207"/>
      <c r="B421" s="208"/>
      <c r="C421" s="56"/>
      <c r="D421" s="56"/>
      <c r="E421" s="56"/>
      <c r="F421" s="56"/>
      <c r="G421" s="56"/>
      <c r="H421" s="56"/>
      <c r="I421" s="56"/>
      <c r="J421" s="56"/>
      <c r="K421" s="56"/>
      <c r="L421" s="256"/>
      <c r="M421" s="256"/>
      <c r="N421" s="256"/>
      <c r="O421" s="256"/>
      <c r="P421" s="256"/>
      <c r="Q421" s="256"/>
      <c r="R421" s="256"/>
      <c r="S421" s="208"/>
      <c r="T421" s="256"/>
      <c r="U421" s="256"/>
      <c r="V421" s="256"/>
      <c r="W421" s="256"/>
      <c r="X421" s="237"/>
      <c r="Y421" s="256"/>
      <c r="Z421" s="256"/>
      <c r="AA421" s="256"/>
      <c r="AB421" s="256"/>
      <c r="AC421" s="256"/>
      <c r="AD421" s="256"/>
      <c r="AE421" s="256"/>
      <c r="AF421" s="256"/>
      <c r="AG421" s="256"/>
      <c r="AH421" s="256"/>
      <c r="AI421" s="256"/>
      <c r="AJ421" s="256"/>
      <c r="AK421" s="237"/>
      <c r="AL421" s="56"/>
      <c r="AM421" s="56"/>
      <c r="AN421" s="56"/>
      <c r="AO421" s="56"/>
      <c r="AP421" s="56"/>
      <c r="AQ421" s="56"/>
      <c r="AR421" s="56"/>
      <c r="AS421" s="56"/>
      <c r="AT421" s="56"/>
      <c r="AU421" s="56"/>
      <c r="AV421" s="56"/>
      <c r="AW421" s="56"/>
      <c r="AX421" s="56"/>
      <c r="AY421" s="208"/>
      <c r="AZ421" s="211"/>
    </row>
    <row r="422" ht="18" customHeight="1" hidden="1">
      <c r="A422" s="207"/>
      <c r="B422" s="208"/>
      <c r="C422" s="56"/>
      <c r="D422" s="56"/>
      <c r="E422" s="56"/>
      <c r="F422" s="56"/>
      <c r="G422" s="56"/>
      <c r="H422" s="56"/>
      <c r="I422" s="56"/>
      <c r="J422" s="56"/>
      <c r="K422" s="56"/>
      <c r="L422" s="256"/>
      <c r="M422" s="256"/>
      <c r="N422" s="256"/>
      <c r="O422" s="256"/>
      <c r="P422" s="256"/>
      <c r="Q422" s="256"/>
      <c r="R422" s="256"/>
      <c r="S422" s="208"/>
      <c r="T422" s="256"/>
      <c r="U422" s="256"/>
      <c r="V422" s="256"/>
      <c r="W422" s="256"/>
      <c r="X422" s="237"/>
      <c r="Y422" s="256"/>
      <c r="Z422" s="256"/>
      <c r="AA422" s="256"/>
      <c r="AB422" s="256"/>
      <c r="AC422" s="256"/>
      <c r="AD422" s="256"/>
      <c r="AE422" s="256"/>
      <c r="AF422" s="256"/>
      <c r="AG422" s="256"/>
      <c r="AH422" s="256"/>
      <c r="AI422" s="256"/>
      <c r="AJ422" s="256"/>
      <c r="AK422" s="237"/>
      <c r="AL422" s="56"/>
      <c r="AM422" s="56"/>
      <c r="AN422" s="56"/>
      <c r="AO422" s="56"/>
      <c r="AP422" s="56"/>
      <c r="AQ422" s="56"/>
      <c r="AR422" s="56"/>
      <c r="AS422" s="56"/>
      <c r="AT422" s="56"/>
      <c r="AU422" s="56"/>
      <c r="AV422" s="56"/>
      <c r="AW422" s="56"/>
      <c r="AX422" s="56"/>
      <c r="AY422" s="208"/>
      <c r="AZ422" s="211"/>
    </row>
    <row r="423" ht="18" customHeight="1" hidden="1">
      <c r="A423" s="207"/>
      <c r="B423" s="208"/>
      <c r="C423" s="56"/>
      <c r="D423" s="56"/>
      <c r="E423" s="56"/>
      <c r="F423" s="56"/>
      <c r="G423" s="56"/>
      <c r="H423" s="56"/>
      <c r="I423" s="56"/>
      <c r="J423" s="56"/>
      <c r="K423" s="56"/>
      <c r="L423" s="256"/>
      <c r="M423" s="256"/>
      <c r="N423" s="256"/>
      <c r="O423" s="256"/>
      <c r="P423" s="256"/>
      <c r="Q423" s="256"/>
      <c r="R423" s="256"/>
      <c r="S423" s="208"/>
      <c r="T423" s="256"/>
      <c r="U423" s="256"/>
      <c r="V423" s="256"/>
      <c r="W423" s="256"/>
      <c r="X423" s="237"/>
      <c r="Y423" s="256"/>
      <c r="Z423" s="256"/>
      <c r="AA423" s="256"/>
      <c r="AB423" s="256"/>
      <c r="AC423" s="256"/>
      <c r="AD423" s="256"/>
      <c r="AE423" s="256"/>
      <c r="AF423" s="256"/>
      <c r="AG423" s="256"/>
      <c r="AH423" s="256"/>
      <c r="AI423" s="256"/>
      <c r="AJ423" s="256"/>
      <c r="AK423" s="237"/>
      <c r="AL423" s="56"/>
      <c r="AM423" s="56"/>
      <c r="AN423" s="56"/>
      <c r="AO423" s="56"/>
      <c r="AP423" s="56"/>
      <c r="AQ423" s="56"/>
      <c r="AR423" s="56"/>
      <c r="AS423" s="56"/>
      <c r="AT423" s="56"/>
      <c r="AU423" s="56"/>
      <c r="AV423" s="56"/>
      <c r="AW423" s="56"/>
      <c r="AX423" s="56"/>
      <c r="AY423" s="208"/>
      <c r="AZ423" s="211"/>
    </row>
    <row r="424" ht="18" customHeight="1" hidden="1">
      <c r="A424" s="207"/>
      <c r="B424" s="208"/>
      <c r="C424" s="56"/>
      <c r="D424" s="56"/>
      <c r="E424" s="56"/>
      <c r="F424" s="56"/>
      <c r="G424" s="56"/>
      <c r="H424" s="56"/>
      <c r="I424" s="56"/>
      <c r="J424" s="56"/>
      <c r="K424" s="56"/>
      <c r="L424" s="256"/>
      <c r="M424" s="256"/>
      <c r="N424" s="256"/>
      <c r="O424" s="256"/>
      <c r="P424" s="256"/>
      <c r="Q424" s="256"/>
      <c r="R424" s="256"/>
      <c r="S424" s="208"/>
      <c r="T424" s="256"/>
      <c r="U424" s="256"/>
      <c r="V424" s="256"/>
      <c r="W424" s="256"/>
      <c r="X424" s="237"/>
      <c r="Y424" s="256"/>
      <c r="Z424" s="256"/>
      <c r="AA424" s="256"/>
      <c r="AB424" s="256"/>
      <c r="AC424" s="256"/>
      <c r="AD424" s="256"/>
      <c r="AE424" s="256"/>
      <c r="AF424" s="256"/>
      <c r="AG424" s="256"/>
      <c r="AH424" s="256"/>
      <c r="AI424" s="256"/>
      <c r="AJ424" s="256"/>
      <c r="AK424" s="237"/>
      <c r="AL424" s="56"/>
      <c r="AM424" s="56"/>
      <c r="AN424" s="56"/>
      <c r="AO424" s="56"/>
      <c r="AP424" s="56"/>
      <c r="AQ424" s="56"/>
      <c r="AR424" s="56"/>
      <c r="AS424" s="56"/>
      <c r="AT424" s="56"/>
      <c r="AU424" s="56"/>
      <c r="AV424" s="56"/>
      <c r="AW424" s="56"/>
      <c r="AX424" s="56"/>
      <c r="AY424" s="208"/>
      <c r="AZ424" s="211"/>
    </row>
    <row r="425" ht="18" customHeight="1" hidden="1">
      <c r="A425" s="207"/>
      <c r="B425" s="208"/>
      <c r="C425" s="56"/>
      <c r="D425" s="56"/>
      <c r="E425" s="56"/>
      <c r="F425" s="56"/>
      <c r="G425" s="56"/>
      <c r="H425" s="56"/>
      <c r="I425" s="56"/>
      <c r="J425" s="56"/>
      <c r="K425" s="56"/>
      <c r="L425" s="256"/>
      <c r="M425" s="256"/>
      <c r="N425" s="256"/>
      <c r="O425" s="256"/>
      <c r="P425" s="256"/>
      <c r="Q425" s="256"/>
      <c r="R425" s="256"/>
      <c r="S425" s="208"/>
      <c r="T425" s="256"/>
      <c r="U425" s="256"/>
      <c r="V425" s="256"/>
      <c r="W425" s="256"/>
      <c r="X425" s="237"/>
      <c r="Y425" s="256"/>
      <c r="Z425" s="256"/>
      <c r="AA425" s="256"/>
      <c r="AB425" s="256"/>
      <c r="AC425" s="256"/>
      <c r="AD425" s="256"/>
      <c r="AE425" s="256"/>
      <c r="AF425" s="256"/>
      <c r="AG425" s="256"/>
      <c r="AH425" s="256"/>
      <c r="AI425" s="256"/>
      <c r="AJ425" s="256"/>
      <c r="AK425" s="237"/>
      <c r="AL425" s="56"/>
      <c r="AM425" s="56"/>
      <c r="AN425" s="56"/>
      <c r="AO425" s="56"/>
      <c r="AP425" s="56"/>
      <c r="AQ425" s="56"/>
      <c r="AR425" s="56"/>
      <c r="AS425" s="56"/>
      <c r="AT425" s="56"/>
      <c r="AU425" s="56"/>
      <c r="AV425" s="56"/>
      <c r="AW425" s="56"/>
      <c r="AX425" s="56"/>
      <c r="AY425" s="208"/>
      <c r="AZ425" s="211"/>
    </row>
    <row r="426" ht="18" customHeight="1" hidden="1">
      <c r="A426" s="207"/>
      <c r="B426" s="208"/>
      <c r="C426" s="56"/>
      <c r="D426" s="56"/>
      <c r="E426" s="56"/>
      <c r="F426" s="56"/>
      <c r="G426" s="56"/>
      <c r="H426" s="56"/>
      <c r="I426" s="56"/>
      <c r="J426" s="56"/>
      <c r="K426" s="56"/>
      <c r="L426" s="256"/>
      <c r="M426" s="256"/>
      <c r="N426" s="256"/>
      <c r="O426" s="256"/>
      <c r="P426" s="256"/>
      <c r="Q426" s="256"/>
      <c r="R426" s="256"/>
      <c r="S426" s="208"/>
      <c r="T426" s="256"/>
      <c r="U426" s="256"/>
      <c r="V426" s="256"/>
      <c r="W426" s="256"/>
      <c r="X426" s="237"/>
      <c r="Y426" s="256"/>
      <c r="Z426" s="256"/>
      <c r="AA426" s="256"/>
      <c r="AB426" s="256"/>
      <c r="AC426" s="256"/>
      <c r="AD426" s="256"/>
      <c r="AE426" s="256"/>
      <c r="AF426" s="256"/>
      <c r="AG426" s="256"/>
      <c r="AH426" s="256"/>
      <c r="AI426" s="256"/>
      <c r="AJ426" s="256"/>
      <c r="AK426" s="237"/>
      <c r="AL426" s="56"/>
      <c r="AM426" s="56"/>
      <c r="AN426" s="56"/>
      <c r="AO426" s="56"/>
      <c r="AP426" s="56"/>
      <c r="AQ426" s="56"/>
      <c r="AR426" s="56"/>
      <c r="AS426" s="56"/>
      <c r="AT426" s="56"/>
      <c r="AU426" s="56"/>
      <c r="AV426" s="56"/>
      <c r="AW426" s="56"/>
      <c r="AX426" s="56"/>
      <c r="AY426" s="208"/>
      <c r="AZ426" s="211"/>
    </row>
    <row r="427" ht="18" customHeight="1" hidden="1">
      <c r="A427" s="207"/>
      <c r="B427" s="208"/>
      <c r="C427" s="56"/>
      <c r="D427" s="56"/>
      <c r="E427" s="56"/>
      <c r="F427" s="56"/>
      <c r="G427" s="56"/>
      <c r="H427" s="56"/>
      <c r="I427" s="56"/>
      <c r="J427" s="56"/>
      <c r="K427" s="56"/>
      <c r="L427" s="256"/>
      <c r="M427" s="256"/>
      <c r="N427" s="256"/>
      <c r="O427" s="256"/>
      <c r="P427" s="256"/>
      <c r="Q427" s="256"/>
      <c r="R427" s="256"/>
      <c r="S427" s="208"/>
      <c r="T427" s="256"/>
      <c r="U427" s="256"/>
      <c r="V427" s="256"/>
      <c r="W427" s="256"/>
      <c r="X427" s="237"/>
      <c r="Y427" s="256"/>
      <c r="Z427" s="256"/>
      <c r="AA427" s="256"/>
      <c r="AB427" s="256"/>
      <c r="AC427" s="256"/>
      <c r="AD427" s="256"/>
      <c r="AE427" s="256"/>
      <c r="AF427" s="256"/>
      <c r="AG427" s="256"/>
      <c r="AH427" s="256"/>
      <c r="AI427" s="256"/>
      <c r="AJ427" s="256"/>
      <c r="AK427" s="237"/>
      <c r="AL427" s="56"/>
      <c r="AM427" s="56"/>
      <c r="AN427" s="56"/>
      <c r="AO427" s="56"/>
      <c r="AP427" s="56"/>
      <c r="AQ427" s="56"/>
      <c r="AR427" s="56"/>
      <c r="AS427" s="56"/>
      <c r="AT427" s="56"/>
      <c r="AU427" s="56"/>
      <c r="AV427" s="56"/>
      <c r="AW427" s="56"/>
      <c r="AX427" s="56"/>
      <c r="AY427" s="208"/>
      <c r="AZ427" s="211"/>
    </row>
    <row r="428" ht="18" customHeight="1" hidden="1">
      <c r="A428" s="207"/>
      <c r="B428" s="208"/>
      <c r="C428" s="56"/>
      <c r="D428" s="56"/>
      <c r="E428" s="56"/>
      <c r="F428" s="56"/>
      <c r="G428" s="56"/>
      <c r="H428" s="56"/>
      <c r="I428" s="56"/>
      <c r="J428" s="56"/>
      <c r="K428" s="56"/>
      <c r="L428" s="256"/>
      <c r="M428" s="256"/>
      <c r="N428" s="256"/>
      <c r="O428" s="256"/>
      <c r="P428" s="256"/>
      <c r="Q428" s="256"/>
      <c r="R428" s="256"/>
      <c r="S428" s="208"/>
      <c r="T428" s="256"/>
      <c r="U428" s="256"/>
      <c r="V428" s="256"/>
      <c r="W428" s="256"/>
      <c r="X428" s="237"/>
      <c r="Y428" s="256"/>
      <c r="Z428" s="256"/>
      <c r="AA428" s="256"/>
      <c r="AB428" s="256"/>
      <c r="AC428" s="256"/>
      <c r="AD428" s="256"/>
      <c r="AE428" s="256"/>
      <c r="AF428" s="256"/>
      <c r="AG428" s="256"/>
      <c r="AH428" s="256"/>
      <c r="AI428" s="256"/>
      <c r="AJ428" s="256"/>
      <c r="AK428" s="237"/>
      <c r="AL428" s="56"/>
      <c r="AM428" s="56"/>
      <c r="AN428" s="56"/>
      <c r="AO428" s="56"/>
      <c r="AP428" s="56"/>
      <c r="AQ428" s="56"/>
      <c r="AR428" s="56"/>
      <c r="AS428" s="56"/>
      <c r="AT428" s="56"/>
      <c r="AU428" s="56"/>
      <c r="AV428" s="56"/>
      <c r="AW428" s="56"/>
      <c r="AX428" s="56"/>
      <c r="AY428" s="208"/>
      <c r="AZ428" s="211"/>
    </row>
    <row r="429" ht="18" customHeight="1" hidden="1">
      <c r="A429" s="207"/>
      <c r="B429" s="208"/>
      <c r="C429" s="56"/>
      <c r="D429" s="56"/>
      <c r="E429" s="56"/>
      <c r="F429" s="56"/>
      <c r="G429" s="56"/>
      <c r="H429" s="56"/>
      <c r="I429" s="56"/>
      <c r="J429" s="56"/>
      <c r="K429" s="56"/>
      <c r="L429" s="256"/>
      <c r="M429" s="256"/>
      <c r="N429" s="256"/>
      <c r="O429" s="256"/>
      <c r="P429" s="256"/>
      <c r="Q429" s="256"/>
      <c r="R429" s="256"/>
      <c r="S429" s="208"/>
      <c r="T429" s="256"/>
      <c r="U429" s="256"/>
      <c r="V429" s="256"/>
      <c r="W429" s="256"/>
      <c r="X429" s="237"/>
      <c r="Y429" s="256"/>
      <c r="Z429" s="256"/>
      <c r="AA429" s="256"/>
      <c r="AB429" s="256"/>
      <c r="AC429" s="256"/>
      <c r="AD429" s="256"/>
      <c r="AE429" s="256"/>
      <c r="AF429" s="256"/>
      <c r="AG429" s="256"/>
      <c r="AH429" s="256"/>
      <c r="AI429" s="256"/>
      <c r="AJ429" s="256"/>
      <c r="AK429" s="237"/>
      <c r="AL429" s="56"/>
      <c r="AM429" s="56"/>
      <c r="AN429" s="56"/>
      <c r="AO429" s="56"/>
      <c r="AP429" s="56"/>
      <c r="AQ429" s="56"/>
      <c r="AR429" s="56"/>
      <c r="AS429" s="56"/>
      <c r="AT429" s="56"/>
      <c r="AU429" s="56"/>
      <c r="AV429" s="56"/>
      <c r="AW429" s="56"/>
      <c r="AX429" s="56"/>
      <c r="AY429" s="208"/>
      <c r="AZ429" s="211"/>
    </row>
    <row r="430" ht="18" customHeight="1" hidden="1">
      <c r="A430" s="207"/>
      <c r="B430" s="208"/>
      <c r="C430" s="56"/>
      <c r="D430" s="56"/>
      <c r="E430" s="56"/>
      <c r="F430" s="56"/>
      <c r="G430" s="56"/>
      <c r="H430" s="56"/>
      <c r="I430" s="56"/>
      <c r="J430" s="56"/>
      <c r="K430" s="56"/>
      <c r="L430" s="256"/>
      <c r="M430" s="256"/>
      <c r="N430" s="256"/>
      <c r="O430" s="256"/>
      <c r="P430" s="256"/>
      <c r="Q430" s="256"/>
      <c r="R430" s="256"/>
      <c r="S430" s="208"/>
      <c r="T430" s="256"/>
      <c r="U430" s="256"/>
      <c r="V430" s="256"/>
      <c r="W430" s="256"/>
      <c r="X430" s="237"/>
      <c r="Y430" s="256"/>
      <c r="Z430" s="256"/>
      <c r="AA430" s="256"/>
      <c r="AB430" s="256"/>
      <c r="AC430" s="256"/>
      <c r="AD430" s="256"/>
      <c r="AE430" s="256"/>
      <c r="AF430" s="256"/>
      <c r="AG430" s="256"/>
      <c r="AH430" s="256"/>
      <c r="AI430" s="256"/>
      <c r="AJ430" s="256"/>
      <c r="AK430" s="237"/>
      <c r="AL430" s="56"/>
      <c r="AM430" s="56"/>
      <c r="AN430" s="56"/>
      <c r="AO430" s="56"/>
      <c r="AP430" s="56"/>
      <c r="AQ430" s="56"/>
      <c r="AR430" s="56"/>
      <c r="AS430" s="56"/>
      <c r="AT430" s="56"/>
      <c r="AU430" s="56"/>
      <c r="AV430" s="56"/>
      <c r="AW430" s="56"/>
      <c r="AX430" s="56"/>
      <c r="AY430" s="208"/>
      <c r="AZ430" s="211"/>
    </row>
    <row r="431" ht="18" customHeight="1" hidden="1">
      <c r="A431" s="207"/>
      <c r="B431" s="208"/>
      <c r="C431" s="56"/>
      <c r="D431" s="56"/>
      <c r="E431" s="56"/>
      <c r="F431" s="56"/>
      <c r="G431" s="56"/>
      <c r="H431" s="56"/>
      <c r="I431" s="56"/>
      <c r="J431" s="56"/>
      <c r="K431" s="56"/>
      <c r="L431" s="256"/>
      <c r="M431" s="256"/>
      <c r="N431" s="256"/>
      <c r="O431" s="256"/>
      <c r="P431" s="256"/>
      <c r="Q431" s="256"/>
      <c r="R431" s="256"/>
      <c r="S431" s="208"/>
      <c r="T431" s="256"/>
      <c r="U431" s="256"/>
      <c r="V431" s="256"/>
      <c r="W431" s="256"/>
      <c r="X431" s="237"/>
      <c r="Y431" s="256"/>
      <c r="Z431" s="256"/>
      <c r="AA431" s="256"/>
      <c r="AB431" s="256"/>
      <c r="AC431" s="256"/>
      <c r="AD431" s="256"/>
      <c r="AE431" s="256"/>
      <c r="AF431" s="256"/>
      <c r="AG431" s="256"/>
      <c r="AH431" s="256"/>
      <c r="AI431" s="256"/>
      <c r="AJ431" s="256"/>
      <c r="AK431" s="237"/>
      <c r="AL431" s="56"/>
      <c r="AM431" s="56"/>
      <c r="AN431" s="56"/>
      <c r="AO431" s="56"/>
      <c r="AP431" s="56"/>
      <c r="AQ431" s="56"/>
      <c r="AR431" s="56"/>
      <c r="AS431" s="56"/>
      <c r="AT431" s="56"/>
      <c r="AU431" s="56"/>
      <c r="AV431" s="56"/>
      <c r="AW431" s="56"/>
      <c r="AX431" s="56"/>
      <c r="AY431" s="208"/>
      <c r="AZ431" s="211"/>
    </row>
    <row r="432" ht="18" customHeight="1" hidden="1">
      <c r="A432" s="207"/>
      <c r="B432" s="208"/>
      <c r="C432" s="56"/>
      <c r="D432" s="56"/>
      <c r="E432" s="56"/>
      <c r="F432" s="56"/>
      <c r="G432" s="56"/>
      <c r="H432" s="56"/>
      <c r="I432" s="56"/>
      <c r="J432" s="56"/>
      <c r="K432" s="56"/>
      <c r="L432" s="256"/>
      <c r="M432" s="256"/>
      <c r="N432" s="256"/>
      <c r="O432" s="256"/>
      <c r="P432" s="256"/>
      <c r="Q432" s="256"/>
      <c r="R432" s="256"/>
      <c r="S432" s="208"/>
      <c r="T432" s="256"/>
      <c r="U432" s="256"/>
      <c r="V432" s="256"/>
      <c r="W432" s="256"/>
      <c r="X432" s="237"/>
      <c r="Y432" s="256"/>
      <c r="Z432" s="256"/>
      <c r="AA432" s="256"/>
      <c r="AB432" s="256"/>
      <c r="AC432" s="256"/>
      <c r="AD432" s="256"/>
      <c r="AE432" s="256"/>
      <c r="AF432" s="256"/>
      <c r="AG432" s="256"/>
      <c r="AH432" s="256"/>
      <c r="AI432" s="256"/>
      <c r="AJ432" s="256"/>
      <c r="AK432" s="237"/>
      <c r="AL432" s="56"/>
      <c r="AM432" s="56"/>
      <c r="AN432" s="56"/>
      <c r="AO432" s="56"/>
      <c r="AP432" s="56"/>
      <c r="AQ432" s="56"/>
      <c r="AR432" s="56"/>
      <c r="AS432" s="56"/>
      <c r="AT432" s="56"/>
      <c r="AU432" s="56"/>
      <c r="AV432" s="56"/>
      <c r="AW432" s="56"/>
      <c r="AX432" s="56"/>
      <c r="AY432" s="208"/>
      <c r="AZ432" s="211"/>
    </row>
    <row r="433" ht="18" customHeight="1" hidden="1">
      <c r="A433" s="207"/>
      <c r="B433" s="208"/>
      <c r="C433" s="56"/>
      <c r="D433" s="56"/>
      <c r="E433" s="56"/>
      <c r="F433" s="56"/>
      <c r="G433" s="56"/>
      <c r="H433" s="56"/>
      <c r="I433" s="56"/>
      <c r="J433" s="56"/>
      <c r="K433" s="56"/>
      <c r="L433" s="256"/>
      <c r="M433" s="256"/>
      <c r="N433" s="256"/>
      <c r="O433" s="256"/>
      <c r="P433" s="256"/>
      <c r="Q433" s="256"/>
      <c r="R433" s="256"/>
      <c r="S433" s="208"/>
      <c r="T433" s="256"/>
      <c r="U433" s="256"/>
      <c r="V433" s="256"/>
      <c r="W433" s="256"/>
      <c r="X433" s="237"/>
      <c r="Y433" s="256"/>
      <c r="Z433" s="256"/>
      <c r="AA433" s="256"/>
      <c r="AB433" s="256"/>
      <c r="AC433" s="256"/>
      <c r="AD433" s="256"/>
      <c r="AE433" s="256"/>
      <c r="AF433" s="256"/>
      <c r="AG433" s="256"/>
      <c r="AH433" s="256"/>
      <c r="AI433" s="256"/>
      <c r="AJ433" s="256"/>
      <c r="AK433" s="237"/>
      <c r="AL433" s="56"/>
      <c r="AM433" s="56"/>
      <c r="AN433" s="56"/>
      <c r="AO433" s="56"/>
      <c r="AP433" s="56"/>
      <c r="AQ433" s="56"/>
      <c r="AR433" s="56"/>
      <c r="AS433" s="56"/>
      <c r="AT433" s="56"/>
      <c r="AU433" s="56"/>
      <c r="AV433" s="56"/>
      <c r="AW433" s="56"/>
      <c r="AX433" s="56"/>
      <c r="AY433" s="208"/>
      <c r="AZ433" s="211"/>
    </row>
    <row r="434" ht="18" customHeight="1" hidden="1">
      <c r="A434" s="207"/>
      <c r="B434" s="208"/>
      <c r="C434" s="56"/>
      <c r="D434" s="56"/>
      <c r="E434" s="56"/>
      <c r="F434" s="56"/>
      <c r="G434" s="56"/>
      <c r="H434" s="56"/>
      <c r="I434" s="56"/>
      <c r="J434" s="56"/>
      <c r="K434" s="56"/>
      <c r="L434" s="256"/>
      <c r="M434" s="256"/>
      <c r="N434" s="256"/>
      <c r="O434" s="256"/>
      <c r="P434" s="256"/>
      <c r="Q434" s="256"/>
      <c r="R434" s="256"/>
      <c r="S434" s="208"/>
      <c r="T434" s="256"/>
      <c r="U434" s="256"/>
      <c r="V434" s="256"/>
      <c r="W434" s="256"/>
      <c r="X434" s="237"/>
      <c r="Y434" s="256"/>
      <c r="Z434" s="256"/>
      <c r="AA434" s="256"/>
      <c r="AB434" s="256"/>
      <c r="AC434" s="256"/>
      <c r="AD434" s="256"/>
      <c r="AE434" s="256"/>
      <c r="AF434" s="256"/>
      <c r="AG434" s="256"/>
      <c r="AH434" s="256"/>
      <c r="AI434" s="256"/>
      <c r="AJ434" s="256"/>
      <c r="AK434" s="237"/>
      <c r="AL434" s="56"/>
      <c r="AM434" s="56"/>
      <c r="AN434" s="56"/>
      <c r="AO434" s="56"/>
      <c r="AP434" s="56"/>
      <c r="AQ434" s="56"/>
      <c r="AR434" s="56"/>
      <c r="AS434" s="56"/>
      <c r="AT434" s="56"/>
      <c r="AU434" s="56"/>
      <c r="AV434" s="56"/>
      <c r="AW434" s="56"/>
      <c r="AX434" s="56"/>
      <c r="AY434" s="208"/>
      <c r="AZ434" s="211"/>
    </row>
    <row r="435" ht="18" customHeight="1" hidden="1">
      <c r="A435" s="207"/>
      <c r="B435" s="208"/>
      <c r="C435" s="56"/>
      <c r="D435" s="56"/>
      <c r="E435" s="56"/>
      <c r="F435" s="56"/>
      <c r="G435" s="56"/>
      <c r="H435" s="56"/>
      <c r="I435" s="56"/>
      <c r="J435" s="56"/>
      <c r="K435" s="56"/>
      <c r="L435" s="256"/>
      <c r="M435" s="256"/>
      <c r="N435" s="256"/>
      <c r="O435" s="256"/>
      <c r="P435" s="256"/>
      <c r="Q435" s="256"/>
      <c r="R435" s="256"/>
      <c r="S435" s="208"/>
      <c r="T435" s="256"/>
      <c r="U435" s="256"/>
      <c r="V435" s="256"/>
      <c r="W435" s="256"/>
      <c r="X435" s="237"/>
      <c r="Y435" s="256"/>
      <c r="Z435" s="256"/>
      <c r="AA435" s="256"/>
      <c r="AB435" s="256"/>
      <c r="AC435" s="256"/>
      <c r="AD435" s="256"/>
      <c r="AE435" s="256"/>
      <c r="AF435" s="256"/>
      <c r="AG435" s="256"/>
      <c r="AH435" s="256"/>
      <c r="AI435" s="256"/>
      <c r="AJ435" s="256"/>
      <c r="AK435" s="237"/>
      <c r="AL435" s="56"/>
      <c r="AM435" s="56"/>
      <c r="AN435" s="56"/>
      <c r="AO435" s="56"/>
      <c r="AP435" s="56"/>
      <c r="AQ435" s="56"/>
      <c r="AR435" s="56"/>
      <c r="AS435" s="56"/>
      <c r="AT435" s="56"/>
      <c r="AU435" s="56"/>
      <c r="AV435" s="56"/>
      <c r="AW435" s="56"/>
      <c r="AX435" s="56"/>
      <c r="AY435" s="208"/>
      <c r="AZ435" s="211"/>
    </row>
    <row r="436" ht="18" customHeight="1" hidden="1">
      <c r="A436" s="207"/>
      <c r="B436" s="208"/>
      <c r="C436" s="56"/>
      <c r="D436" s="56"/>
      <c r="E436" s="56"/>
      <c r="F436" s="56"/>
      <c r="G436" s="56"/>
      <c r="H436" s="56"/>
      <c r="I436" s="56"/>
      <c r="J436" s="56"/>
      <c r="K436" s="56"/>
      <c r="L436" s="256"/>
      <c r="M436" s="256"/>
      <c r="N436" s="256"/>
      <c r="O436" s="256"/>
      <c r="P436" s="256"/>
      <c r="Q436" s="256"/>
      <c r="R436" s="256"/>
      <c r="S436" s="208"/>
      <c r="T436" s="256"/>
      <c r="U436" s="256"/>
      <c r="V436" s="256"/>
      <c r="W436" s="256"/>
      <c r="X436" s="237"/>
      <c r="Y436" s="256"/>
      <c r="Z436" s="256"/>
      <c r="AA436" s="256"/>
      <c r="AB436" s="256"/>
      <c r="AC436" s="256"/>
      <c r="AD436" s="256"/>
      <c r="AE436" s="256"/>
      <c r="AF436" s="256"/>
      <c r="AG436" s="256"/>
      <c r="AH436" s="256"/>
      <c r="AI436" s="256"/>
      <c r="AJ436" s="256"/>
      <c r="AK436" s="237"/>
      <c r="AL436" s="56"/>
      <c r="AM436" s="56"/>
      <c r="AN436" s="56"/>
      <c r="AO436" s="56"/>
      <c r="AP436" s="56"/>
      <c r="AQ436" s="56"/>
      <c r="AR436" s="56"/>
      <c r="AS436" s="56"/>
      <c r="AT436" s="56"/>
      <c r="AU436" s="56"/>
      <c r="AV436" s="56"/>
      <c r="AW436" s="56"/>
      <c r="AX436" s="56"/>
      <c r="AY436" s="208"/>
      <c r="AZ436" s="211"/>
    </row>
    <row r="437" ht="18" customHeight="1" hidden="1">
      <c r="A437" s="207"/>
      <c r="B437" s="208"/>
      <c r="C437" s="56"/>
      <c r="D437" s="56"/>
      <c r="E437" s="56"/>
      <c r="F437" s="56"/>
      <c r="G437" s="56"/>
      <c r="H437" s="56"/>
      <c r="I437" s="56"/>
      <c r="J437" s="56"/>
      <c r="K437" s="56"/>
      <c r="L437" s="256"/>
      <c r="M437" s="256"/>
      <c r="N437" s="256"/>
      <c r="O437" s="256"/>
      <c r="P437" s="256"/>
      <c r="Q437" s="256"/>
      <c r="R437" s="256"/>
      <c r="S437" s="208"/>
      <c r="T437" s="256"/>
      <c r="U437" s="256"/>
      <c r="V437" s="256"/>
      <c r="W437" s="256"/>
      <c r="X437" s="237"/>
      <c r="Y437" s="256"/>
      <c r="Z437" s="256"/>
      <c r="AA437" s="256"/>
      <c r="AB437" s="256"/>
      <c r="AC437" s="256"/>
      <c r="AD437" s="256"/>
      <c r="AE437" s="256"/>
      <c r="AF437" s="256"/>
      <c r="AG437" s="256"/>
      <c r="AH437" s="256"/>
      <c r="AI437" s="256"/>
      <c r="AJ437" s="256"/>
      <c r="AK437" s="237"/>
      <c r="AL437" s="56"/>
      <c r="AM437" s="56"/>
      <c r="AN437" s="56"/>
      <c r="AO437" s="56"/>
      <c r="AP437" s="56"/>
      <c r="AQ437" s="56"/>
      <c r="AR437" s="56"/>
      <c r="AS437" s="56"/>
      <c r="AT437" s="56"/>
      <c r="AU437" s="56"/>
      <c r="AV437" s="56"/>
      <c r="AW437" s="56"/>
      <c r="AX437" s="56"/>
      <c r="AY437" s="208"/>
      <c r="AZ437" s="211"/>
    </row>
    <row r="438" ht="18" customHeight="1" hidden="1">
      <c r="A438" s="207"/>
      <c r="B438" s="208"/>
      <c r="C438" s="56"/>
      <c r="D438" s="56"/>
      <c r="E438" s="56"/>
      <c r="F438" s="56"/>
      <c r="G438" s="56"/>
      <c r="H438" s="56"/>
      <c r="I438" s="56"/>
      <c r="J438" s="56"/>
      <c r="K438" s="56"/>
      <c r="L438" s="256"/>
      <c r="M438" s="256"/>
      <c r="N438" s="256"/>
      <c r="O438" s="256"/>
      <c r="P438" s="256"/>
      <c r="Q438" s="256"/>
      <c r="R438" s="256"/>
      <c r="S438" s="208"/>
      <c r="T438" s="256"/>
      <c r="U438" s="256"/>
      <c r="V438" s="256"/>
      <c r="W438" s="256"/>
      <c r="X438" s="237"/>
      <c r="Y438" s="256"/>
      <c r="Z438" s="256"/>
      <c r="AA438" s="256"/>
      <c r="AB438" s="256"/>
      <c r="AC438" s="256"/>
      <c r="AD438" s="256"/>
      <c r="AE438" s="256"/>
      <c r="AF438" s="256"/>
      <c r="AG438" s="256"/>
      <c r="AH438" s="256"/>
      <c r="AI438" s="256"/>
      <c r="AJ438" s="256"/>
      <c r="AK438" s="237"/>
      <c r="AL438" s="56"/>
      <c r="AM438" s="56"/>
      <c r="AN438" s="56"/>
      <c r="AO438" s="56"/>
      <c r="AP438" s="56"/>
      <c r="AQ438" s="56"/>
      <c r="AR438" s="56"/>
      <c r="AS438" s="56"/>
      <c r="AT438" s="56"/>
      <c r="AU438" s="56"/>
      <c r="AV438" s="56"/>
      <c r="AW438" s="56"/>
      <c r="AX438" s="56"/>
      <c r="AY438" s="208"/>
      <c r="AZ438" s="211"/>
    </row>
    <row r="439" ht="18" customHeight="1" hidden="1">
      <c r="A439" s="207"/>
      <c r="B439" s="208"/>
      <c r="C439" s="56"/>
      <c r="D439" s="56"/>
      <c r="E439" s="56"/>
      <c r="F439" s="56"/>
      <c r="G439" s="56"/>
      <c r="H439" s="56"/>
      <c r="I439" s="56"/>
      <c r="J439" s="56"/>
      <c r="K439" s="56"/>
      <c r="L439" s="256"/>
      <c r="M439" s="256"/>
      <c r="N439" s="256"/>
      <c r="O439" s="256"/>
      <c r="P439" s="256"/>
      <c r="Q439" s="256"/>
      <c r="R439" s="256"/>
      <c r="S439" s="208"/>
      <c r="T439" s="256"/>
      <c r="U439" s="256"/>
      <c r="V439" s="256"/>
      <c r="W439" s="256"/>
      <c r="X439" s="237"/>
      <c r="Y439" s="256"/>
      <c r="Z439" s="256"/>
      <c r="AA439" s="256"/>
      <c r="AB439" s="256"/>
      <c r="AC439" s="256"/>
      <c r="AD439" s="256"/>
      <c r="AE439" s="256"/>
      <c r="AF439" s="256"/>
      <c r="AG439" s="256"/>
      <c r="AH439" s="256"/>
      <c r="AI439" s="256"/>
      <c r="AJ439" s="256"/>
      <c r="AK439" s="237"/>
      <c r="AL439" s="56"/>
      <c r="AM439" s="56"/>
      <c r="AN439" s="56"/>
      <c r="AO439" s="56"/>
      <c r="AP439" s="56"/>
      <c r="AQ439" s="56"/>
      <c r="AR439" s="56"/>
      <c r="AS439" s="56"/>
      <c r="AT439" s="56"/>
      <c r="AU439" s="56"/>
      <c r="AV439" s="56"/>
      <c r="AW439" s="56"/>
      <c r="AX439" s="56"/>
      <c r="AY439" s="208"/>
      <c r="AZ439" s="211"/>
    </row>
    <row r="440" ht="18" customHeight="1" hidden="1">
      <c r="A440" s="207"/>
      <c r="B440" s="208"/>
      <c r="C440" s="56"/>
      <c r="D440" s="56"/>
      <c r="E440" s="56"/>
      <c r="F440" s="56"/>
      <c r="G440" s="56"/>
      <c r="H440" s="56"/>
      <c r="I440" s="56"/>
      <c r="J440" s="56"/>
      <c r="K440" s="56"/>
      <c r="L440" s="256"/>
      <c r="M440" s="256"/>
      <c r="N440" s="256"/>
      <c r="O440" s="256"/>
      <c r="P440" s="256"/>
      <c r="Q440" s="256"/>
      <c r="R440" s="256"/>
      <c r="S440" s="208"/>
      <c r="T440" s="256"/>
      <c r="U440" s="256"/>
      <c r="V440" s="256"/>
      <c r="W440" s="256"/>
      <c r="X440" s="237"/>
      <c r="Y440" s="256"/>
      <c r="Z440" s="256"/>
      <c r="AA440" s="256"/>
      <c r="AB440" s="256"/>
      <c r="AC440" s="256"/>
      <c r="AD440" s="256"/>
      <c r="AE440" s="256"/>
      <c r="AF440" s="256"/>
      <c r="AG440" s="256"/>
      <c r="AH440" s="256"/>
      <c r="AI440" s="256"/>
      <c r="AJ440" s="256"/>
      <c r="AK440" s="237"/>
      <c r="AL440" s="56"/>
      <c r="AM440" s="56"/>
      <c r="AN440" s="56"/>
      <c r="AO440" s="56"/>
      <c r="AP440" s="56"/>
      <c r="AQ440" s="56"/>
      <c r="AR440" s="56"/>
      <c r="AS440" s="56"/>
      <c r="AT440" s="56"/>
      <c r="AU440" s="56"/>
      <c r="AV440" s="56"/>
      <c r="AW440" s="56"/>
      <c r="AX440" s="56"/>
      <c r="AY440" s="208"/>
      <c r="AZ440" s="211"/>
    </row>
    <row r="441" ht="18" customHeight="1" hidden="1">
      <c r="A441" s="207"/>
      <c r="B441" s="208"/>
      <c r="C441" s="56"/>
      <c r="D441" s="56"/>
      <c r="E441" s="56"/>
      <c r="F441" s="56"/>
      <c r="G441" s="56"/>
      <c r="H441" s="56"/>
      <c r="I441" s="56"/>
      <c r="J441" s="56"/>
      <c r="K441" s="56"/>
      <c r="L441" s="256"/>
      <c r="M441" s="256"/>
      <c r="N441" s="256"/>
      <c r="O441" s="256"/>
      <c r="P441" s="256"/>
      <c r="Q441" s="256"/>
      <c r="R441" s="256"/>
      <c r="S441" s="208"/>
      <c r="T441" s="256"/>
      <c r="U441" s="256"/>
      <c r="V441" s="256"/>
      <c r="W441" s="256"/>
      <c r="X441" s="237"/>
      <c r="Y441" s="256"/>
      <c r="Z441" s="256"/>
      <c r="AA441" s="256"/>
      <c r="AB441" s="256"/>
      <c r="AC441" s="256"/>
      <c r="AD441" s="256"/>
      <c r="AE441" s="256"/>
      <c r="AF441" s="256"/>
      <c r="AG441" s="256"/>
      <c r="AH441" s="256"/>
      <c r="AI441" s="256"/>
      <c r="AJ441" s="256"/>
      <c r="AK441" s="237"/>
      <c r="AL441" s="56"/>
      <c r="AM441" s="56"/>
      <c r="AN441" s="56"/>
      <c r="AO441" s="56"/>
      <c r="AP441" s="56"/>
      <c r="AQ441" s="56"/>
      <c r="AR441" s="56"/>
      <c r="AS441" s="56"/>
      <c r="AT441" s="56"/>
      <c r="AU441" s="56"/>
      <c r="AV441" s="56"/>
      <c r="AW441" s="56"/>
      <c r="AX441" s="56"/>
      <c r="AY441" s="208"/>
      <c r="AZ441" s="211"/>
    </row>
    <row r="442" ht="18" customHeight="1" hidden="1">
      <c r="A442" s="207"/>
      <c r="B442" s="208"/>
      <c r="C442" s="56"/>
      <c r="D442" s="56"/>
      <c r="E442" s="56"/>
      <c r="F442" s="56"/>
      <c r="G442" s="56"/>
      <c r="H442" s="56"/>
      <c r="I442" s="56"/>
      <c r="J442" s="56"/>
      <c r="K442" s="56"/>
      <c r="L442" s="256"/>
      <c r="M442" s="256"/>
      <c r="N442" s="256"/>
      <c r="O442" s="256"/>
      <c r="P442" s="256"/>
      <c r="Q442" s="256"/>
      <c r="R442" s="256"/>
      <c r="S442" s="208"/>
      <c r="T442" s="256"/>
      <c r="U442" s="256"/>
      <c r="V442" s="256"/>
      <c r="W442" s="256"/>
      <c r="X442" s="237"/>
      <c r="Y442" s="256"/>
      <c r="Z442" s="256"/>
      <c r="AA442" s="256"/>
      <c r="AB442" s="256"/>
      <c r="AC442" s="256"/>
      <c r="AD442" s="256"/>
      <c r="AE442" s="256"/>
      <c r="AF442" s="256"/>
      <c r="AG442" s="256"/>
      <c r="AH442" s="256"/>
      <c r="AI442" s="256"/>
      <c r="AJ442" s="256"/>
      <c r="AK442" s="237"/>
      <c r="AL442" s="56"/>
      <c r="AM442" s="56"/>
      <c r="AN442" s="56"/>
      <c r="AO442" s="56"/>
      <c r="AP442" s="56"/>
      <c r="AQ442" s="56"/>
      <c r="AR442" s="56"/>
      <c r="AS442" s="56"/>
      <c r="AT442" s="56"/>
      <c r="AU442" s="56"/>
      <c r="AV442" s="56"/>
      <c r="AW442" s="56"/>
      <c r="AX442" s="56"/>
      <c r="AY442" s="208"/>
      <c r="AZ442" s="211"/>
    </row>
    <row r="443" ht="18" customHeight="1" hidden="1">
      <c r="A443" s="207"/>
      <c r="B443" s="208"/>
      <c r="C443" s="56"/>
      <c r="D443" s="56"/>
      <c r="E443" s="56"/>
      <c r="F443" s="56"/>
      <c r="G443" s="56"/>
      <c r="H443" s="56"/>
      <c r="I443" s="56"/>
      <c r="J443" s="56"/>
      <c r="K443" s="56"/>
      <c r="L443" s="256"/>
      <c r="M443" s="256"/>
      <c r="N443" s="256"/>
      <c r="O443" s="256"/>
      <c r="P443" s="256"/>
      <c r="Q443" s="256"/>
      <c r="R443" s="256"/>
      <c r="S443" s="208"/>
      <c r="T443" s="256"/>
      <c r="U443" s="256"/>
      <c r="V443" s="256"/>
      <c r="W443" s="256"/>
      <c r="X443" s="237"/>
      <c r="Y443" s="256"/>
      <c r="Z443" s="256"/>
      <c r="AA443" s="256"/>
      <c r="AB443" s="256"/>
      <c r="AC443" s="256"/>
      <c r="AD443" s="256"/>
      <c r="AE443" s="256"/>
      <c r="AF443" s="256"/>
      <c r="AG443" s="256"/>
      <c r="AH443" s="256"/>
      <c r="AI443" s="256"/>
      <c r="AJ443" s="256"/>
      <c r="AK443" s="237"/>
      <c r="AL443" s="56"/>
      <c r="AM443" s="56"/>
      <c r="AN443" s="56"/>
      <c r="AO443" s="56"/>
      <c r="AP443" s="56"/>
      <c r="AQ443" s="56"/>
      <c r="AR443" s="56"/>
      <c r="AS443" s="56"/>
      <c r="AT443" s="56"/>
      <c r="AU443" s="56"/>
      <c r="AV443" s="56"/>
      <c r="AW443" s="56"/>
      <c r="AX443" s="56"/>
      <c r="AY443" s="208"/>
      <c r="AZ443" s="211"/>
    </row>
    <row r="444" ht="18" customHeight="1" hidden="1">
      <c r="A444" s="207"/>
      <c r="B444" s="208"/>
      <c r="C444" s="56"/>
      <c r="D444" s="56"/>
      <c r="E444" s="56"/>
      <c r="F444" s="56"/>
      <c r="G444" s="56"/>
      <c r="H444" s="56"/>
      <c r="I444" s="56"/>
      <c r="J444" s="56"/>
      <c r="K444" s="56"/>
      <c r="L444" s="256"/>
      <c r="M444" s="256"/>
      <c r="N444" s="256"/>
      <c r="O444" s="256"/>
      <c r="P444" s="256"/>
      <c r="Q444" s="256"/>
      <c r="R444" s="256"/>
      <c r="S444" s="208"/>
      <c r="T444" s="256"/>
      <c r="U444" s="256"/>
      <c r="V444" s="256"/>
      <c r="W444" s="256"/>
      <c r="X444" s="237"/>
      <c r="Y444" s="256"/>
      <c r="Z444" s="256"/>
      <c r="AA444" s="256"/>
      <c r="AB444" s="256"/>
      <c r="AC444" s="256"/>
      <c r="AD444" s="256"/>
      <c r="AE444" s="256"/>
      <c r="AF444" s="256"/>
      <c r="AG444" s="256"/>
      <c r="AH444" s="256"/>
      <c r="AI444" s="256"/>
      <c r="AJ444" s="256"/>
      <c r="AK444" s="237"/>
      <c r="AL444" s="56"/>
      <c r="AM444" s="56"/>
      <c r="AN444" s="56"/>
      <c r="AO444" s="56"/>
      <c r="AP444" s="56"/>
      <c r="AQ444" s="56"/>
      <c r="AR444" s="56"/>
      <c r="AS444" s="56"/>
      <c r="AT444" s="56"/>
      <c r="AU444" s="56"/>
      <c r="AV444" s="56"/>
      <c r="AW444" s="56"/>
      <c r="AX444" s="56"/>
      <c r="AY444" s="208"/>
      <c r="AZ444" s="211"/>
    </row>
    <row r="445" ht="18" customHeight="1" hidden="1">
      <c r="A445" s="207"/>
      <c r="B445" s="208"/>
      <c r="C445" s="56"/>
      <c r="D445" s="56"/>
      <c r="E445" s="56"/>
      <c r="F445" s="56"/>
      <c r="G445" s="56"/>
      <c r="H445" s="56"/>
      <c r="I445" s="56"/>
      <c r="J445" s="56"/>
      <c r="K445" s="56"/>
      <c r="L445" s="256"/>
      <c r="M445" s="256"/>
      <c r="N445" s="256"/>
      <c r="O445" s="256"/>
      <c r="P445" s="256"/>
      <c r="Q445" s="256"/>
      <c r="R445" s="256"/>
      <c r="S445" s="208"/>
      <c r="T445" s="256"/>
      <c r="U445" s="256"/>
      <c r="V445" s="256"/>
      <c r="W445" s="256"/>
      <c r="X445" s="237"/>
      <c r="Y445" s="256"/>
      <c r="Z445" s="256"/>
      <c r="AA445" s="256"/>
      <c r="AB445" s="256"/>
      <c r="AC445" s="256"/>
      <c r="AD445" s="256"/>
      <c r="AE445" s="256"/>
      <c r="AF445" s="256"/>
      <c r="AG445" s="256"/>
      <c r="AH445" s="256"/>
      <c r="AI445" s="256"/>
      <c r="AJ445" s="256"/>
      <c r="AK445" s="237"/>
      <c r="AL445" s="56"/>
      <c r="AM445" s="56"/>
      <c r="AN445" s="56"/>
      <c r="AO445" s="56"/>
      <c r="AP445" s="56"/>
      <c r="AQ445" s="56"/>
      <c r="AR445" s="56"/>
      <c r="AS445" s="56"/>
      <c r="AT445" s="56"/>
      <c r="AU445" s="56"/>
      <c r="AV445" s="56"/>
      <c r="AW445" s="56"/>
      <c r="AX445" s="56"/>
      <c r="AY445" s="208"/>
      <c r="AZ445" s="211"/>
    </row>
    <row r="446" ht="18" customHeight="1" hidden="1">
      <c r="A446" s="207"/>
      <c r="B446" s="208"/>
      <c r="C446" s="56"/>
      <c r="D446" s="56"/>
      <c r="E446" s="56"/>
      <c r="F446" s="56"/>
      <c r="G446" s="56"/>
      <c r="H446" s="56"/>
      <c r="I446" s="56"/>
      <c r="J446" s="56"/>
      <c r="K446" s="56"/>
      <c r="L446" s="256"/>
      <c r="M446" s="256"/>
      <c r="N446" s="256"/>
      <c r="O446" s="256"/>
      <c r="P446" s="256"/>
      <c r="Q446" s="256"/>
      <c r="R446" s="256"/>
      <c r="S446" s="208"/>
      <c r="T446" s="256"/>
      <c r="U446" s="256"/>
      <c r="V446" s="256"/>
      <c r="W446" s="256"/>
      <c r="X446" s="237"/>
      <c r="Y446" s="256"/>
      <c r="Z446" s="256"/>
      <c r="AA446" s="256"/>
      <c r="AB446" s="256"/>
      <c r="AC446" s="256"/>
      <c r="AD446" s="256"/>
      <c r="AE446" s="256"/>
      <c r="AF446" s="256"/>
      <c r="AG446" s="256"/>
      <c r="AH446" s="256"/>
      <c r="AI446" s="256"/>
      <c r="AJ446" s="256"/>
      <c r="AK446" s="237"/>
      <c r="AL446" s="56"/>
      <c r="AM446" s="56"/>
      <c r="AN446" s="56"/>
      <c r="AO446" s="56"/>
      <c r="AP446" s="56"/>
      <c r="AQ446" s="56"/>
      <c r="AR446" s="56"/>
      <c r="AS446" s="56"/>
      <c r="AT446" s="56"/>
      <c r="AU446" s="56"/>
      <c r="AV446" s="56"/>
      <c r="AW446" s="56"/>
      <c r="AX446" s="56"/>
      <c r="AY446" s="208"/>
      <c r="AZ446" s="211"/>
    </row>
    <row r="447" ht="18" customHeight="1" hidden="1">
      <c r="A447" s="207"/>
      <c r="B447" s="208"/>
      <c r="C447" s="56"/>
      <c r="D447" s="56"/>
      <c r="E447" s="56"/>
      <c r="F447" s="56"/>
      <c r="G447" s="56"/>
      <c r="H447" s="56"/>
      <c r="I447" s="56"/>
      <c r="J447" s="56"/>
      <c r="K447" s="56"/>
      <c r="L447" s="256"/>
      <c r="M447" s="256"/>
      <c r="N447" s="256"/>
      <c r="O447" s="256"/>
      <c r="P447" s="256"/>
      <c r="Q447" s="256"/>
      <c r="R447" s="256"/>
      <c r="S447" s="208"/>
      <c r="T447" s="256"/>
      <c r="U447" s="256"/>
      <c r="V447" s="256"/>
      <c r="W447" s="256"/>
      <c r="X447" s="237"/>
      <c r="Y447" s="256"/>
      <c r="Z447" s="256"/>
      <c r="AA447" s="256"/>
      <c r="AB447" s="256"/>
      <c r="AC447" s="256"/>
      <c r="AD447" s="256"/>
      <c r="AE447" s="256"/>
      <c r="AF447" s="256"/>
      <c r="AG447" s="256"/>
      <c r="AH447" s="256"/>
      <c r="AI447" s="256"/>
      <c r="AJ447" s="256"/>
      <c r="AK447" s="237"/>
      <c r="AL447" s="56"/>
      <c r="AM447" s="56"/>
      <c r="AN447" s="56"/>
      <c r="AO447" s="56"/>
      <c r="AP447" s="56"/>
      <c r="AQ447" s="56"/>
      <c r="AR447" s="56"/>
      <c r="AS447" s="56"/>
      <c r="AT447" s="56"/>
      <c r="AU447" s="56"/>
      <c r="AV447" s="56"/>
      <c r="AW447" s="56"/>
      <c r="AX447" s="56"/>
      <c r="AY447" s="208"/>
      <c r="AZ447" s="211"/>
    </row>
    <row r="448" ht="18" customHeight="1" hidden="1">
      <c r="A448" s="207"/>
      <c r="B448" s="208"/>
      <c r="C448" s="56"/>
      <c r="D448" s="56"/>
      <c r="E448" s="56"/>
      <c r="F448" s="56"/>
      <c r="G448" s="56"/>
      <c r="H448" s="56"/>
      <c r="I448" s="56"/>
      <c r="J448" s="56"/>
      <c r="K448" s="56"/>
      <c r="L448" s="256"/>
      <c r="M448" s="256"/>
      <c r="N448" s="256"/>
      <c r="O448" s="256"/>
      <c r="P448" s="256"/>
      <c r="Q448" s="256"/>
      <c r="R448" s="256"/>
      <c r="S448" s="208"/>
      <c r="T448" s="256"/>
      <c r="U448" s="256"/>
      <c r="V448" s="256"/>
      <c r="W448" s="256"/>
      <c r="X448" s="237"/>
      <c r="Y448" s="256"/>
      <c r="Z448" s="256"/>
      <c r="AA448" s="256"/>
      <c r="AB448" s="256"/>
      <c r="AC448" s="256"/>
      <c r="AD448" s="256"/>
      <c r="AE448" s="256"/>
      <c r="AF448" s="256"/>
      <c r="AG448" s="256"/>
      <c r="AH448" s="256"/>
      <c r="AI448" s="256"/>
      <c r="AJ448" s="256"/>
      <c r="AK448" s="237"/>
      <c r="AL448" s="56"/>
      <c r="AM448" s="56"/>
      <c r="AN448" s="56"/>
      <c r="AO448" s="56"/>
      <c r="AP448" s="56"/>
      <c r="AQ448" s="56"/>
      <c r="AR448" s="56"/>
      <c r="AS448" s="56"/>
      <c r="AT448" s="56"/>
      <c r="AU448" s="56"/>
      <c r="AV448" s="56"/>
      <c r="AW448" s="56"/>
      <c r="AX448" s="56"/>
      <c r="AY448" s="208"/>
      <c r="AZ448" s="211"/>
    </row>
    <row r="449" ht="18" customHeight="1" hidden="1">
      <c r="A449" s="207"/>
      <c r="B449" s="208"/>
      <c r="C449" s="56"/>
      <c r="D449" s="56"/>
      <c r="E449" s="56"/>
      <c r="F449" s="56"/>
      <c r="G449" s="56"/>
      <c r="H449" s="56"/>
      <c r="I449" s="56"/>
      <c r="J449" s="56"/>
      <c r="K449" s="56"/>
      <c r="L449" s="256"/>
      <c r="M449" s="256"/>
      <c r="N449" s="256"/>
      <c r="O449" s="256"/>
      <c r="P449" s="256"/>
      <c r="Q449" s="256"/>
      <c r="R449" s="256"/>
      <c r="S449" s="208"/>
      <c r="T449" s="256"/>
      <c r="U449" s="256"/>
      <c r="V449" s="256"/>
      <c r="W449" s="256"/>
      <c r="X449" s="237"/>
      <c r="Y449" s="256"/>
      <c r="Z449" s="256"/>
      <c r="AA449" s="256"/>
      <c r="AB449" s="256"/>
      <c r="AC449" s="256"/>
      <c r="AD449" s="256"/>
      <c r="AE449" s="256"/>
      <c r="AF449" s="256"/>
      <c r="AG449" s="256"/>
      <c r="AH449" s="256"/>
      <c r="AI449" s="256"/>
      <c r="AJ449" s="256"/>
      <c r="AK449" s="237"/>
      <c r="AL449" s="56"/>
      <c r="AM449" s="56"/>
      <c r="AN449" s="56"/>
      <c r="AO449" s="56"/>
      <c r="AP449" s="56"/>
      <c r="AQ449" s="56"/>
      <c r="AR449" s="56"/>
      <c r="AS449" s="56"/>
      <c r="AT449" s="56"/>
      <c r="AU449" s="56"/>
      <c r="AV449" s="56"/>
      <c r="AW449" s="56"/>
      <c r="AX449" s="56"/>
      <c r="AY449" s="208"/>
      <c r="AZ449" s="211"/>
    </row>
    <row r="450" ht="18" customHeight="1" hidden="1">
      <c r="A450" s="207"/>
      <c r="B450" s="208"/>
      <c r="C450" s="56"/>
      <c r="D450" s="56"/>
      <c r="E450" s="56"/>
      <c r="F450" s="56"/>
      <c r="G450" s="56"/>
      <c r="H450" s="56"/>
      <c r="I450" s="56"/>
      <c r="J450" s="56"/>
      <c r="K450" s="56"/>
      <c r="L450" s="256"/>
      <c r="M450" s="256"/>
      <c r="N450" s="256"/>
      <c r="O450" s="256"/>
      <c r="P450" s="256"/>
      <c r="Q450" s="256"/>
      <c r="R450" s="256"/>
      <c r="S450" s="208"/>
      <c r="T450" s="256"/>
      <c r="U450" s="256"/>
      <c r="V450" s="256"/>
      <c r="W450" s="256"/>
      <c r="X450" s="237"/>
      <c r="Y450" s="256"/>
      <c r="Z450" s="256"/>
      <c r="AA450" s="256"/>
      <c r="AB450" s="256"/>
      <c r="AC450" s="256"/>
      <c r="AD450" s="256"/>
      <c r="AE450" s="256"/>
      <c r="AF450" s="256"/>
      <c r="AG450" s="256"/>
      <c r="AH450" s="256"/>
      <c r="AI450" s="256"/>
      <c r="AJ450" s="256"/>
      <c r="AK450" s="237"/>
      <c r="AL450" s="56"/>
      <c r="AM450" s="56"/>
      <c r="AN450" s="56"/>
      <c r="AO450" s="56"/>
      <c r="AP450" s="56"/>
      <c r="AQ450" s="56"/>
      <c r="AR450" s="56"/>
      <c r="AS450" s="56"/>
      <c r="AT450" s="56"/>
      <c r="AU450" s="56"/>
      <c r="AV450" s="56"/>
      <c r="AW450" s="56"/>
      <c r="AX450" s="56"/>
      <c r="AY450" s="208"/>
      <c r="AZ450" s="211"/>
    </row>
    <row r="451" ht="18" customHeight="1" hidden="1">
      <c r="A451" s="207"/>
      <c r="B451" s="208"/>
      <c r="C451" s="56"/>
      <c r="D451" s="56"/>
      <c r="E451" s="56"/>
      <c r="F451" s="56"/>
      <c r="G451" s="56"/>
      <c r="H451" s="56"/>
      <c r="I451" s="56"/>
      <c r="J451" s="56"/>
      <c r="K451" s="56"/>
      <c r="L451" s="256"/>
      <c r="M451" s="256"/>
      <c r="N451" s="256"/>
      <c r="O451" s="256"/>
      <c r="P451" s="256"/>
      <c r="Q451" s="256"/>
      <c r="R451" s="256"/>
      <c r="S451" s="208"/>
      <c r="T451" s="256"/>
      <c r="U451" s="256"/>
      <c r="V451" s="256"/>
      <c r="W451" s="256"/>
      <c r="X451" s="237"/>
      <c r="Y451" s="256"/>
      <c r="Z451" s="256"/>
      <c r="AA451" s="256"/>
      <c r="AB451" s="256"/>
      <c r="AC451" s="256"/>
      <c r="AD451" s="256"/>
      <c r="AE451" s="256"/>
      <c r="AF451" s="256"/>
      <c r="AG451" s="256"/>
      <c r="AH451" s="256"/>
      <c r="AI451" s="256"/>
      <c r="AJ451" s="256"/>
      <c r="AK451" s="237"/>
      <c r="AL451" s="56"/>
      <c r="AM451" s="56"/>
      <c r="AN451" s="56"/>
      <c r="AO451" s="56"/>
      <c r="AP451" s="56"/>
      <c r="AQ451" s="56"/>
      <c r="AR451" s="56"/>
      <c r="AS451" s="56"/>
      <c r="AT451" s="56"/>
      <c r="AU451" s="56"/>
      <c r="AV451" s="56"/>
      <c r="AW451" s="56"/>
      <c r="AX451" s="56"/>
      <c r="AY451" s="208"/>
      <c r="AZ451" s="211"/>
    </row>
    <row r="452" ht="18" customHeight="1" hidden="1">
      <c r="A452" s="207"/>
      <c r="B452" s="208"/>
      <c r="C452" s="56"/>
      <c r="D452" s="56"/>
      <c r="E452" s="56"/>
      <c r="F452" s="56"/>
      <c r="G452" s="56"/>
      <c r="H452" s="56"/>
      <c r="I452" s="56"/>
      <c r="J452" s="56"/>
      <c r="K452" s="56"/>
      <c r="L452" s="256"/>
      <c r="M452" s="256"/>
      <c r="N452" s="256"/>
      <c r="O452" s="256"/>
      <c r="P452" s="256"/>
      <c r="Q452" s="256"/>
      <c r="R452" s="256"/>
      <c r="S452" s="208"/>
      <c r="T452" s="256"/>
      <c r="U452" s="256"/>
      <c r="V452" s="256"/>
      <c r="W452" s="256"/>
      <c r="X452" s="237"/>
      <c r="Y452" s="256"/>
      <c r="Z452" s="256"/>
      <c r="AA452" s="256"/>
      <c r="AB452" s="256"/>
      <c r="AC452" s="256"/>
      <c r="AD452" s="256"/>
      <c r="AE452" s="256"/>
      <c r="AF452" s="256"/>
      <c r="AG452" s="256"/>
      <c r="AH452" s="256"/>
      <c r="AI452" s="256"/>
      <c r="AJ452" s="256"/>
      <c r="AK452" s="237"/>
      <c r="AL452" s="56"/>
      <c r="AM452" s="56"/>
      <c r="AN452" s="56"/>
      <c r="AO452" s="56"/>
      <c r="AP452" s="56"/>
      <c r="AQ452" s="56"/>
      <c r="AR452" s="56"/>
      <c r="AS452" s="56"/>
      <c r="AT452" s="56"/>
      <c r="AU452" s="56"/>
      <c r="AV452" s="56"/>
      <c r="AW452" s="56"/>
      <c r="AX452" s="56"/>
      <c r="AY452" s="208"/>
      <c r="AZ452" s="211"/>
    </row>
    <row r="453" ht="18" customHeight="1" hidden="1">
      <c r="A453" s="207"/>
      <c r="B453" s="208"/>
      <c r="C453" s="56"/>
      <c r="D453" s="56"/>
      <c r="E453" s="56"/>
      <c r="F453" s="56"/>
      <c r="G453" s="56"/>
      <c r="H453" s="56"/>
      <c r="I453" s="56"/>
      <c r="J453" s="56"/>
      <c r="K453" s="56"/>
      <c r="L453" s="256"/>
      <c r="M453" s="256"/>
      <c r="N453" s="256"/>
      <c r="O453" s="256"/>
      <c r="P453" s="256"/>
      <c r="Q453" s="256"/>
      <c r="R453" s="256"/>
      <c r="S453" s="208"/>
      <c r="T453" s="256"/>
      <c r="U453" s="256"/>
      <c r="V453" s="256"/>
      <c r="W453" s="256"/>
      <c r="X453" s="237"/>
      <c r="Y453" s="256"/>
      <c r="Z453" s="256"/>
      <c r="AA453" s="256"/>
      <c r="AB453" s="256"/>
      <c r="AC453" s="256"/>
      <c r="AD453" s="256"/>
      <c r="AE453" s="256"/>
      <c r="AF453" s="256"/>
      <c r="AG453" s="256"/>
      <c r="AH453" s="256"/>
      <c r="AI453" s="256"/>
      <c r="AJ453" s="256"/>
      <c r="AK453" s="237"/>
      <c r="AL453" s="56"/>
      <c r="AM453" s="56"/>
      <c r="AN453" s="56"/>
      <c r="AO453" s="56"/>
      <c r="AP453" s="56"/>
      <c r="AQ453" s="56"/>
      <c r="AR453" s="56"/>
      <c r="AS453" s="56"/>
      <c r="AT453" s="56"/>
      <c r="AU453" s="56"/>
      <c r="AV453" s="56"/>
      <c r="AW453" s="56"/>
      <c r="AX453" s="56"/>
      <c r="AY453" s="208"/>
      <c r="AZ453" s="211"/>
    </row>
    <row r="454" ht="18" customHeight="1" hidden="1">
      <c r="A454" s="207"/>
      <c r="B454" s="208"/>
      <c r="C454" s="56"/>
      <c r="D454" s="56"/>
      <c r="E454" s="56"/>
      <c r="F454" s="56"/>
      <c r="G454" s="56"/>
      <c r="H454" s="56"/>
      <c r="I454" s="56"/>
      <c r="J454" s="56"/>
      <c r="K454" s="56"/>
      <c r="L454" s="256"/>
      <c r="M454" s="256"/>
      <c r="N454" s="256"/>
      <c r="O454" s="256"/>
      <c r="P454" s="256"/>
      <c r="Q454" s="256"/>
      <c r="R454" s="256"/>
      <c r="S454" s="208"/>
      <c r="T454" s="256"/>
      <c r="U454" s="256"/>
      <c r="V454" s="256"/>
      <c r="W454" s="256"/>
      <c r="X454" s="237"/>
      <c r="Y454" s="256"/>
      <c r="Z454" s="256"/>
      <c r="AA454" s="256"/>
      <c r="AB454" s="256"/>
      <c r="AC454" s="256"/>
      <c r="AD454" s="256"/>
      <c r="AE454" s="256"/>
      <c r="AF454" s="256"/>
      <c r="AG454" s="256"/>
      <c r="AH454" s="256"/>
      <c r="AI454" s="256"/>
      <c r="AJ454" s="256"/>
      <c r="AK454" s="237"/>
      <c r="AL454" s="56"/>
      <c r="AM454" s="56"/>
      <c r="AN454" s="56"/>
      <c r="AO454" s="56"/>
      <c r="AP454" s="56"/>
      <c r="AQ454" s="56"/>
      <c r="AR454" s="56"/>
      <c r="AS454" s="56"/>
      <c r="AT454" s="56"/>
      <c r="AU454" s="56"/>
      <c r="AV454" s="56"/>
      <c r="AW454" s="56"/>
      <c r="AX454" s="56"/>
      <c r="AY454" s="208"/>
      <c r="AZ454" s="211"/>
    </row>
    <row r="455" ht="18" customHeight="1" hidden="1">
      <c r="A455" s="207"/>
      <c r="B455" s="208"/>
      <c r="C455" s="56"/>
      <c r="D455" s="56"/>
      <c r="E455" s="56"/>
      <c r="F455" s="56"/>
      <c r="G455" s="56"/>
      <c r="H455" s="56"/>
      <c r="I455" s="56"/>
      <c r="J455" s="56"/>
      <c r="K455" s="56"/>
      <c r="L455" s="256"/>
      <c r="M455" s="256"/>
      <c r="N455" s="256"/>
      <c r="O455" s="256"/>
      <c r="P455" s="256"/>
      <c r="Q455" s="256"/>
      <c r="R455" s="256"/>
      <c r="S455" s="208"/>
      <c r="T455" s="256"/>
      <c r="U455" s="256"/>
      <c r="V455" s="256"/>
      <c r="W455" s="256"/>
      <c r="X455" s="237"/>
      <c r="Y455" s="256"/>
      <c r="Z455" s="256"/>
      <c r="AA455" s="256"/>
      <c r="AB455" s="256"/>
      <c r="AC455" s="256"/>
      <c r="AD455" s="256"/>
      <c r="AE455" s="256"/>
      <c r="AF455" s="256"/>
      <c r="AG455" s="256"/>
      <c r="AH455" s="256"/>
      <c r="AI455" s="256"/>
      <c r="AJ455" s="256"/>
      <c r="AK455" s="237"/>
      <c r="AL455" s="56"/>
      <c r="AM455" s="56"/>
      <c r="AN455" s="56"/>
      <c r="AO455" s="56"/>
      <c r="AP455" s="56"/>
      <c r="AQ455" s="56"/>
      <c r="AR455" s="56"/>
      <c r="AS455" s="56"/>
      <c r="AT455" s="56"/>
      <c r="AU455" s="56"/>
      <c r="AV455" s="56"/>
      <c r="AW455" s="56"/>
      <c r="AX455" s="56"/>
      <c r="AY455" s="208"/>
      <c r="AZ455" s="211"/>
    </row>
    <row r="456" ht="18" customHeight="1" hidden="1">
      <c r="A456" s="207"/>
      <c r="B456" s="208"/>
      <c r="C456" s="56"/>
      <c r="D456" s="56"/>
      <c r="E456" s="56"/>
      <c r="F456" s="56"/>
      <c r="G456" s="56"/>
      <c r="H456" s="56"/>
      <c r="I456" s="56"/>
      <c r="J456" s="56"/>
      <c r="K456" s="56"/>
      <c r="L456" s="256"/>
      <c r="M456" s="256"/>
      <c r="N456" s="256"/>
      <c r="O456" s="256"/>
      <c r="P456" s="256"/>
      <c r="Q456" s="256"/>
      <c r="R456" s="256"/>
      <c r="S456" s="208"/>
      <c r="T456" s="256"/>
      <c r="U456" s="256"/>
      <c r="V456" s="256"/>
      <c r="W456" s="256"/>
      <c r="X456" s="237"/>
      <c r="Y456" s="256"/>
      <c r="Z456" s="256"/>
      <c r="AA456" s="256"/>
      <c r="AB456" s="256"/>
      <c r="AC456" s="256"/>
      <c r="AD456" s="256"/>
      <c r="AE456" s="256"/>
      <c r="AF456" s="256"/>
      <c r="AG456" s="256"/>
      <c r="AH456" s="256"/>
      <c r="AI456" s="256"/>
      <c r="AJ456" s="256"/>
      <c r="AK456" s="237"/>
      <c r="AL456" s="56"/>
      <c r="AM456" s="56"/>
      <c r="AN456" s="56"/>
      <c r="AO456" s="56"/>
      <c r="AP456" s="56"/>
      <c r="AQ456" s="56"/>
      <c r="AR456" s="56"/>
      <c r="AS456" s="56"/>
      <c r="AT456" s="56"/>
      <c r="AU456" s="56"/>
      <c r="AV456" s="56"/>
      <c r="AW456" s="56"/>
      <c r="AX456" s="56"/>
      <c r="AY456" s="208"/>
      <c r="AZ456" s="211"/>
    </row>
    <row r="457" ht="18" customHeight="1" hidden="1">
      <c r="A457" s="207"/>
      <c r="B457" s="208"/>
      <c r="C457" s="56"/>
      <c r="D457" s="56"/>
      <c r="E457" s="56"/>
      <c r="F457" s="56"/>
      <c r="G457" s="56"/>
      <c r="H457" s="56"/>
      <c r="I457" s="56"/>
      <c r="J457" s="56"/>
      <c r="K457" s="56"/>
      <c r="L457" s="256"/>
      <c r="M457" s="256"/>
      <c r="N457" s="256"/>
      <c r="O457" s="256"/>
      <c r="P457" s="256"/>
      <c r="Q457" s="256"/>
      <c r="R457" s="256"/>
      <c r="S457" s="208"/>
      <c r="T457" s="256"/>
      <c r="U457" s="256"/>
      <c r="V457" s="256"/>
      <c r="W457" s="256"/>
      <c r="X457" s="237"/>
      <c r="Y457" s="256"/>
      <c r="Z457" s="256"/>
      <c r="AA457" s="256"/>
      <c r="AB457" s="256"/>
      <c r="AC457" s="256"/>
      <c r="AD457" s="256"/>
      <c r="AE457" s="256"/>
      <c r="AF457" s="256"/>
      <c r="AG457" s="256"/>
      <c r="AH457" s="256"/>
      <c r="AI457" s="256"/>
      <c r="AJ457" s="256"/>
      <c r="AK457" s="237"/>
      <c r="AL457" s="56"/>
      <c r="AM457" s="56"/>
      <c r="AN457" s="56"/>
      <c r="AO457" s="56"/>
      <c r="AP457" s="56"/>
      <c r="AQ457" s="56"/>
      <c r="AR457" s="56"/>
      <c r="AS457" s="56"/>
      <c r="AT457" s="56"/>
      <c r="AU457" s="56"/>
      <c r="AV457" s="56"/>
      <c r="AW457" s="56"/>
      <c r="AX457" s="56"/>
      <c r="AY457" s="208"/>
      <c r="AZ457" s="211"/>
    </row>
    <row r="458" ht="18" customHeight="1" hidden="1">
      <c r="A458" s="207"/>
      <c r="B458" s="208"/>
      <c r="C458" s="56"/>
      <c r="D458" s="56"/>
      <c r="E458" s="56"/>
      <c r="F458" s="56"/>
      <c r="G458" s="56"/>
      <c r="H458" s="56"/>
      <c r="I458" s="56"/>
      <c r="J458" s="56"/>
      <c r="K458" s="56"/>
      <c r="L458" s="256"/>
      <c r="M458" s="256"/>
      <c r="N458" s="256"/>
      <c r="O458" s="256"/>
      <c r="P458" s="256"/>
      <c r="Q458" s="256"/>
      <c r="R458" s="256"/>
      <c r="S458" s="208"/>
      <c r="T458" s="256"/>
      <c r="U458" s="256"/>
      <c r="V458" s="256"/>
      <c r="W458" s="256"/>
      <c r="X458" s="237"/>
      <c r="Y458" s="256"/>
      <c r="Z458" s="256"/>
      <c r="AA458" s="256"/>
      <c r="AB458" s="256"/>
      <c r="AC458" s="256"/>
      <c r="AD458" s="256"/>
      <c r="AE458" s="256"/>
      <c r="AF458" s="256"/>
      <c r="AG458" s="256"/>
      <c r="AH458" s="256"/>
      <c r="AI458" s="256"/>
      <c r="AJ458" s="256"/>
      <c r="AK458" s="237"/>
      <c r="AL458" s="56"/>
      <c r="AM458" s="56"/>
      <c r="AN458" s="56"/>
      <c r="AO458" s="56"/>
      <c r="AP458" s="56"/>
      <c r="AQ458" s="56"/>
      <c r="AR458" s="56"/>
      <c r="AS458" s="56"/>
      <c r="AT458" s="56"/>
      <c r="AU458" s="56"/>
      <c r="AV458" s="56"/>
      <c r="AW458" s="56"/>
      <c r="AX458" s="56"/>
      <c r="AY458" s="208"/>
      <c r="AZ458" s="211"/>
    </row>
    <row r="459" ht="18" customHeight="1" hidden="1">
      <c r="A459" s="207"/>
      <c r="B459" s="208"/>
      <c r="C459" s="56"/>
      <c r="D459" s="56"/>
      <c r="E459" s="56"/>
      <c r="F459" s="56"/>
      <c r="G459" s="56"/>
      <c r="H459" s="56"/>
      <c r="I459" s="56"/>
      <c r="J459" s="56"/>
      <c r="K459" s="56"/>
      <c r="L459" s="256"/>
      <c r="M459" s="256"/>
      <c r="N459" s="256"/>
      <c r="O459" s="256"/>
      <c r="P459" s="256"/>
      <c r="Q459" s="256"/>
      <c r="R459" s="256"/>
      <c r="S459" s="208"/>
      <c r="T459" s="256"/>
      <c r="U459" s="256"/>
      <c r="V459" s="256"/>
      <c r="W459" s="256"/>
      <c r="X459" s="237"/>
      <c r="Y459" s="256"/>
      <c r="Z459" s="256"/>
      <c r="AA459" s="256"/>
      <c r="AB459" s="256"/>
      <c r="AC459" s="256"/>
      <c r="AD459" s="256"/>
      <c r="AE459" s="256"/>
      <c r="AF459" s="256"/>
      <c r="AG459" s="256"/>
      <c r="AH459" s="256"/>
      <c r="AI459" s="256"/>
      <c r="AJ459" s="256"/>
      <c r="AK459" s="237"/>
      <c r="AL459" s="56"/>
      <c r="AM459" s="56"/>
      <c r="AN459" s="56"/>
      <c r="AO459" s="56"/>
      <c r="AP459" s="56"/>
      <c r="AQ459" s="56"/>
      <c r="AR459" s="56"/>
      <c r="AS459" s="56"/>
      <c r="AT459" s="56"/>
      <c r="AU459" s="56"/>
      <c r="AV459" s="56"/>
      <c r="AW459" s="56"/>
      <c r="AX459" s="56"/>
      <c r="AY459" s="208"/>
      <c r="AZ459" s="211"/>
    </row>
    <row r="460" ht="18" customHeight="1" hidden="1">
      <c r="A460" s="207"/>
      <c r="B460" s="208"/>
      <c r="C460" s="56"/>
      <c r="D460" s="56"/>
      <c r="E460" s="56"/>
      <c r="F460" s="56"/>
      <c r="G460" s="56"/>
      <c r="H460" s="56"/>
      <c r="I460" s="56"/>
      <c r="J460" s="56"/>
      <c r="K460" s="56"/>
      <c r="L460" s="256"/>
      <c r="M460" s="256"/>
      <c r="N460" s="256"/>
      <c r="O460" s="256"/>
      <c r="P460" s="256"/>
      <c r="Q460" s="256"/>
      <c r="R460" s="256"/>
      <c r="S460" s="208"/>
      <c r="T460" s="256"/>
      <c r="U460" s="256"/>
      <c r="V460" s="256"/>
      <c r="W460" s="256"/>
      <c r="X460" s="237"/>
      <c r="Y460" s="256"/>
      <c r="Z460" s="256"/>
      <c r="AA460" s="256"/>
      <c r="AB460" s="256"/>
      <c r="AC460" s="256"/>
      <c r="AD460" s="256"/>
      <c r="AE460" s="256"/>
      <c r="AF460" s="256"/>
      <c r="AG460" s="256"/>
      <c r="AH460" s="256"/>
      <c r="AI460" s="256"/>
      <c r="AJ460" s="256"/>
      <c r="AK460" s="237"/>
      <c r="AL460" s="56"/>
      <c r="AM460" s="56"/>
      <c r="AN460" s="56"/>
      <c r="AO460" s="56"/>
      <c r="AP460" s="56"/>
      <c r="AQ460" s="56"/>
      <c r="AR460" s="56"/>
      <c r="AS460" s="56"/>
      <c r="AT460" s="56"/>
      <c r="AU460" s="56"/>
      <c r="AV460" s="56"/>
      <c r="AW460" s="56"/>
      <c r="AX460" s="56"/>
      <c r="AY460" s="208"/>
      <c r="AZ460" s="211"/>
    </row>
    <row r="461" ht="18" customHeight="1" hidden="1">
      <c r="A461" s="207"/>
      <c r="B461" s="208"/>
      <c r="C461" s="56"/>
      <c r="D461" s="56"/>
      <c r="E461" s="56"/>
      <c r="F461" s="56"/>
      <c r="G461" s="56"/>
      <c r="H461" s="56"/>
      <c r="I461" s="56"/>
      <c r="J461" s="56"/>
      <c r="K461" s="56"/>
      <c r="L461" s="256"/>
      <c r="M461" s="256"/>
      <c r="N461" s="256"/>
      <c r="O461" s="256"/>
      <c r="P461" s="256"/>
      <c r="Q461" s="256"/>
      <c r="R461" s="256"/>
      <c r="S461" s="208"/>
      <c r="T461" s="256"/>
      <c r="U461" s="256"/>
      <c r="V461" s="256"/>
      <c r="W461" s="256"/>
      <c r="X461" s="237"/>
      <c r="Y461" s="256"/>
      <c r="Z461" s="256"/>
      <c r="AA461" s="256"/>
      <c r="AB461" s="256"/>
      <c r="AC461" s="256"/>
      <c r="AD461" s="256"/>
      <c r="AE461" s="256"/>
      <c r="AF461" s="256"/>
      <c r="AG461" s="256"/>
      <c r="AH461" s="256"/>
      <c r="AI461" s="256"/>
      <c r="AJ461" s="256"/>
      <c r="AK461" s="237"/>
      <c r="AL461" s="56"/>
      <c r="AM461" s="56"/>
      <c r="AN461" s="56"/>
      <c r="AO461" s="56"/>
      <c r="AP461" s="56"/>
      <c r="AQ461" s="56"/>
      <c r="AR461" s="56"/>
      <c r="AS461" s="56"/>
      <c r="AT461" s="56"/>
      <c r="AU461" s="56"/>
      <c r="AV461" s="56"/>
      <c r="AW461" s="56"/>
      <c r="AX461" s="56"/>
      <c r="AY461" s="208"/>
      <c r="AZ461" s="211"/>
    </row>
    <row r="462" ht="18" customHeight="1" hidden="1">
      <c r="A462" s="207"/>
      <c r="B462" s="208"/>
      <c r="C462" s="56"/>
      <c r="D462" s="56"/>
      <c r="E462" s="56"/>
      <c r="F462" s="56"/>
      <c r="G462" s="56"/>
      <c r="H462" s="56"/>
      <c r="I462" s="56"/>
      <c r="J462" s="56"/>
      <c r="K462" s="56"/>
      <c r="L462" s="256"/>
      <c r="M462" s="256"/>
      <c r="N462" s="256"/>
      <c r="O462" s="256"/>
      <c r="P462" s="256"/>
      <c r="Q462" s="256"/>
      <c r="R462" s="256"/>
      <c r="S462" s="208"/>
      <c r="T462" s="256"/>
      <c r="U462" s="256"/>
      <c r="V462" s="256"/>
      <c r="W462" s="256"/>
      <c r="X462" s="237"/>
      <c r="Y462" s="256"/>
      <c r="Z462" s="256"/>
      <c r="AA462" s="256"/>
      <c r="AB462" s="256"/>
      <c r="AC462" s="256"/>
      <c r="AD462" s="256"/>
      <c r="AE462" s="256"/>
      <c r="AF462" s="256"/>
      <c r="AG462" s="256"/>
      <c r="AH462" s="256"/>
      <c r="AI462" s="256"/>
      <c r="AJ462" s="256"/>
      <c r="AK462" s="237"/>
      <c r="AL462" s="56"/>
      <c r="AM462" s="56"/>
      <c r="AN462" s="56"/>
      <c r="AO462" s="56"/>
      <c r="AP462" s="56"/>
      <c r="AQ462" s="56"/>
      <c r="AR462" s="56"/>
      <c r="AS462" s="56"/>
      <c r="AT462" s="56"/>
      <c r="AU462" s="56"/>
      <c r="AV462" s="56"/>
      <c r="AW462" s="56"/>
      <c r="AX462" s="56"/>
      <c r="AY462" s="208"/>
      <c r="AZ462" s="211"/>
    </row>
    <row r="463" ht="18" customHeight="1" hidden="1">
      <c r="A463" s="207"/>
      <c r="B463" s="208"/>
      <c r="C463" s="56"/>
      <c r="D463" s="56"/>
      <c r="E463" s="56"/>
      <c r="F463" s="56"/>
      <c r="G463" s="56"/>
      <c r="H463" s="56"/>
      <c r="I463" s="56"/>
      <c r="J463" s="56"/>
      <c r="K463" s="56"/>
      <c r="L463" s="256"/>
      <c r="M463" s="256"/>
      <c r="N463" s="256"/>
      <c r="O463" s="256"/>
      <c r="P463" s="256"/>
      <c r="Q463" s="256"/>
      <c r="R463" s="256"/>
      <c r="S463" s="208"/>
      <c r="T463" s="256"/>
      <c r="U463" s="256"/>
      <c r="V463" s="256"/>
      <c r="W463" s="256"/>
      <c r="X463" s="237"/>
      <c r="Y463" s="256"/>
      <c r="Z463" s="256"/>
      <c r="AA463" s="256"/>
      <c r="AB463" s="256"/>
      <c r="AC463" s="256"/>
      <c r="AD463" s="256"/>
      <c r="AE463" s="256"/>
      <c r="AF463" s="256"/>
      <c r="AG463" s="256"/>
      <c r="AH463" s="256"/>
      <c r="AI463" s="256"/>
      <c r="AJ463" s="256"/>
      <c r="AK463" s="237"/>
      <c r="AL463" s="56"/>
      <c r="AM463" s="56"/>
      <c r="AN463" s="56"/>
      <c r="AO463" s="56"/>
      <c r="AP463" s="56"/>
      <c r="AQ463" s="56"/>
      <c r="AR463" s="56"/>
      <c r="AS463" s="56"/>
      <c r="AT463" s="56"/>
      <c r="AU463" s="56"/>
      <c r="AV463" s="56"/>
      <c r="AW463" s="56"/>
      <c r="AX463" s="56"/>
      <c r="AY463" s="208"/>
      <c r="AZ463" s="211"/>
    </row>
    <row r="464" ht="18" customHeight="1" hidden="1">
      <c r="A464" s="207"/>
      <c r="B464" s="208"/>
      <c r="C464" s="56"/>
      <c r="D464" s="56"/>
      <c r="E464" s="56"/>
      <c r="F464" s="56"/>
      <c r="G464" s="56"/>
      <c r="H464" s="56"/>
      <c r="I464" s="56"/>
      <c r="J464" s="56"/>
      <c r="K464" s="56"/>
      <c r="L464" s="256"/>
      <c r="M464" s="256"/>
      <c r="N464" s="256"/>
      <c r="O464" s="256"/>
      <c r="P464" s="256"/>
      <c r="Q464" s="256"/>
      <c r="R464" s="256"/>
      <c r="S464" s="208"/>
      <c r="T464" s="256"/>
      <c r="U464" s="256"/>
      <c r="V464" s="256"/>
      <c r="W464" s="256"/>
      <c r="X464" s="237"/>
      <c r="Y464" s="256"/>
      <c r="Z464" s="256"/>
      <c r="AA464" s="256"/>
      <c r="AB464" s="256"/>
      <c r="AC464" s="256"/>
      <c r="AD464" s="256"/>
      <c r="AE464" s="256"/>
      <c r="AF464" s="256"/>
      <c r="AG464" s="256"/>
      <c r="AH464" s="256"/>
      <c r="AI464" s="256"/>
      <c r="AJ464" s="256"/>
      <c r="AK464" s="237"/>
      <c r="AL464" s="56"/>
      <c r="AM464" s="56"/>
      <c r="AN464" s="56"/>
      <c r="AO464" s="56"/>
      <c r="AP464" s="56"/>
      <c r="AQ464" s="56"/>
      <c r="AR464" s="56"/>
      <c r="AS464" s="56"/>
      <c r="AT464" s="56"/>
      <c r="AU464" s="56"/>
      <c r="AV464" s="56"/>
      <c r="AW464" s="56"/>
      <c r="AX464" s="56"/>
      <c r="AY464" s="208"/>
      <c r="AZ464" s="211"/>
    </row>
    <row r="465" ht="18" customHeight="1" hidden="1">
      <c r="A465" s="207"/>
      <c r="B465" s="208"/>
      <c r="C465" s="56"/>
      <c r="D465" s="56"/>
      <c r="E465" s="56"/>
      <c r="F465" s="56"/>
      <c r="G465" s="56"/>
      <c r="H465" s="56"/>
      <c r="I465" s="56"/>
      <c r="J465" s="56"/>
      <c r="K465" s="56"/>
      <c r="L465" s="256"/>
      <c r="M465" s="256"/>
      <c r="N465" s="256"/>
      <c r="O465" s="256"/>
      <c r="P465" s="256"/>
      <c r="Q465" s="256"/>
      <c r="R465" s="256"/>
      <c r="S465" s="208"/>
      <c r="T465" s="256"/>
      <c r="U465" s="256"/>
      <c r="V465" s="256"/>
      <c r="W465" s="256"/>
      <c r="X465" s="237"/>
      <c r="Y465" s="256"/>
      <c r="Z465" s="256"/>
      <c r="AA465" s="256"/>
      <c r="AB465" s="256"/>
      <c r="AC465" s="256"/>
      <c r="AD465" s="256"/>
      <c r="AE465" s="256"/>
      <c r="AF465" s="256"/>
      <c r="AG465" s="256"/>
      <c r="AH465" s="256"/>
      <c r="AI465" s="256"/>
      <c r="AJ465" s="256"/>
      <c r="AK465" s="237"/>
      <c r="AL465" s="56"/>
      <c r="AM465" s="56"/>
      <c r="AN465" s="56"/>
      <c r="AO465" s="56"/>
      <c r="AP465" s="56"/>
      <c r="AQ465" s="56"/>
      <c r="AR465" s="56"/>
      <c r="AS465" s="56"/>
      <c r="AT465" s="56"/>
      <c r="AU465" s="56"/>
      <c r="AV465" s="56"/>
      <c r="AW465" s="56"/>
      <c r="AX465" s="56"/>
      <c r="AY465" s="208"/>
      <c r="AZ465" s="211"/>
    </row>
    <row r="466" ht="18" customHeight="1" hidden="1">
      <c r="A466" s="207"/>
      <c r="B466" s="208"/>
      <c r="C466" s="56"/>
      <c r="D466" s="56"/>
      <c r="E466" s="56"/>
      <c r="F466" s="56"/>
      <c r="G466" s="56"/>
      <c r="H466" s="56"/>
      <c r="I466" s="56"/>
      <c r="J466" s="56"/>
      <c r="K466" s="56"/>
      <c r="L466" s="256"/>
      <c r="M466" s="256"/>
      <c r="N466" s="256"/>
      <c r="O466" s="256"/>
      <c r="P466" s="256"/>
      <c r="Q466" s="256"/>
      <c r="R466" s="256"/>
      <c r="S466" s="208"/>
      <c r="T466" s="256"/>
      <c r="U466" s="256"/>
      <c r="V466" s="256"/>
      <c r="W466" s="256"/>
      <c r="X466" s="237"/>
      <c r="Y466" s="256"/>
      <c r="Z466" s="256"/>
      <c r="AA466" s="256"/>
      <c r="AB466" s="256"/>
      <c r="AC466" s="256"/>
      <c r="AD466" s="256"/>
      <c r="AE466" s="256"/>
      <c r="AF466" s="256"/>
      <c r="AG466" s="256"/>
      <c r="AH466" s="256"/>
      <c r="AI466" s="256"/>
      <c r="AJ466" s="256"/>
      <c r="AK466" s="237"/>
      <c r="AL466" s="56"/>
      <c r="AM466" s="56"/>
      <c r="AN466" s="56"/>
      <c r="AO466" s="56"/>
      <c r="AP466" s="56"/>
      <c r="AQ466" s="56"/>
      <c r="AR466" s="56"/>
      <c r="AS466" s="56"/>
      <c r="AT466" s="56"/>
      <c r="AU466" s="56"/>
      <c r="AV466" s="56"/>
      <c r="AW466" s="56"/>
      <c r="AX466" s="56"/>
      <c r="AY466" s="208"/>
      <c r="AZ466" s="211"/>
    </row>
    <row r="467" ht="18" customHeight="1" hidden="1">
      <c r="A467" s="207"/>
      <c r="B467" s="208"/>
      <c r="C467" s="56"/>
      <c r="D467" s="56"/>
      <c r="E467" s="56"/>
      <c r="F467" s="56"/>
      <c r="G467" s="56"/>
      <c r="H467" s="56"/>
      <c r="I467" s="56"/>
      <c r="J467" s="56"/>
      <c r="K467" s="56"/>
      <c r="L467" s="256"/>
      <c r="M467" s="256"/>
      <c r="N467" s="256"/>
      <c r="O467" s="256"/>
      <c r="P467" s="256"/>
      <c r="Q467" s="256"/>
      <c r="R467" s="256"/>
      <c r="S467" s="208"/>
      <c r="T467" s="256"/>
      <c r="U467" s="256"/>
      <c r="V467" s="256"/>
      <c r="W467" s="256"/>
      <c r="X467" s="237"/>
      <c r="Y467" s="256"/>
      <c r="Z467" s="256"/>
      <c r="AA467" s="256"/>
      <c r="AB467" s="256"/>
      <c r="AC467" s="256"/>
      <c r="AD467" s="256"/>
      <c r="AE467" s="256"/>
      <c r="AF467" s="256"/>
      <c r="AG467" s="256"/>
      <c r="AH467" s="256"/>
      <c r="AI467" s="256"/>
      <c r="AJ467" s="256"/>
      <c r="AK467" s="237"/>
      <c r="AL467" s="56"/>
      <c r="AM467" s="56"/>
      <c r="AN467" s="56"/>
      <c r="AO467" s="56"/>
      <c r="AP467" s="56"/>
      <c r="AQ467" s="56"/>
      <c r="AR467" s="56"/>
      <c r="AS467" s="56"/>
      <c r="AT467" s="56"/>
      <c r="AU467" s="56"/>
      <c r="AV467" s="56"/>
      <c r="AW467" s="56"/>
      <c r="AX467" s="56"/>
      <c r="AY467" s="208"/>
      <c r="AZ467" s="211"/>
    </row>
    <row r="468" ht="18" customHeight="1" hidden="1">
      <c r="A468" s="207"/>
      <c r="B468" s="208"/>
      <c r="C468" s="56"/>
      <c r="D468" s="56"/>
      <c r="E468" s="56"/>
      <c r="F468" s="56"/>
      <c r="G468" s="56"/>
      <c r="H468" s="56"/>
      <c r="I468" s="56"/>
      <c r="J468" s="56"/>
      <c r="K468" s="56"/>
      <c r="L468" s="256"/>
      <c r="M468" s="256"/>
      <c r="N468" s="256"/>
      <c r="O468" s="256"/>
      <c r="P468" s="256"/>
      <c r="Q468" s="256"/>
      <c r="R468" s="256"/>
      <c r="S468" s="208"/>
      <c r="T468" s="256"/>
      <c r="U468" s="256"/>
      <c r="V468" s="256"/>
      <c r="W468" s="256"/>
      <c r="X468" s="237"/>
      <c r="Y468" s="256"/>
      <c r="Z468" s="256"/>
      <c r="AA468" s="256"/>
      <c r="AB468" s="256"/>
      <c r="AC468" s="256"/>
      <c r="AD468" s="256"/>
      <c r="AE468" s="256"/>
      <c r="AF468" s="256"/>
      <c r="AG468" s="256"/>
      <c r="AH468" s="256"/>
      <c r="AI468" s="256"/>
      <c r="AJ468" s="256"/>
      <c r="AK468" s="237"/>
      <c r="AL468" s="56"/>
      <c r="AM468" s="56"/>
      <c r="AN468" s="56"/>
      <c r="AO468" s="56"/>
      <c r="AP468" s="56"/>
      <c r="AQ468" s="56"/>
      <c r="AR468" s="56"/>
      <c r="AS468" s="56"/>
      <c r="AT468" s="56"/>
      <c r="AU468" s="56"/>
      <c r="AV468" s="56"/>
      <c r="AW468" s="56"/>
      <c r="AX468" s="56"/>
      <c r="AY468" s="208"/>
      <c r="AZ468" s="211"/>
    </row>
    <row r="469" ht="18" customHeight="1" hidden="1">
      <c r="A469" s="207"/>
      <c r="B469" s="208"/>
      <c r="C469" s="56"/>
      <c r="D469" s="56"/>
      <c r="E469" s="56"/>
      <c r="F469" s="56"/>
      <c r="G469" s="56"/>
      <c r="H469" s="56"/>
      <c r="I469" s="56"/>
      <c r="J469" s="56"/>
      <c r="K469" s="56"/>
      <c r="L469" s="256"/>
      <c r="M469" s="256"/>
      <c r="N469" s="256"/>
      <c r="O469" s="256"/>
      <c r="P469" s="256"/>
      <c r="Q469" s="256"/>
      <c r="R469" s="256"/>
      <c r="S469" s="208"/>
      <c r="T469" s="256"/>
      <c r="U469" s="256"/>
      <c r="V469" s="256"/>
      <c r="W469" s="256"/>
      <c r="X469" s="237"/>
      <c r="Y469" s="256"/>
      <c r="Z469" s="256"/>
      <c r="AA469" s="256"/>
      <c r="AB469" s="256"/>
      <c r="AC469" s="256"/>
      <c r="AD469" s="256"/>
      <c r="AE469" s="256"/>
      <c r="AF469" s="256"/>
      <c r="AG469" s="256"/>
      <c r="AH469" s="256"/>
      <c r="AI469" s="256"/>
      <c r="AJ469" s="256"/>
      <c r="AK469" s="237"/>
      <c r="AL469" s="56"/>
      <c r="AM469" s="56"/>
      <c r="AN469" s="56"/>
      <c r="AO469" s="56"/>
      <c r="AP469" s="56"/>
      <c r="AQ469" s="56"/>
      <c r="AR469" s="56"/>
      <c r="AS469" s="56"/>
      <c r="AT469" s="56"/>
      <c r="AU469" s="56"/>
      <c r="AV469" s="56"/>
      <c r="AW469" s="56"/>
      <c r="AX469" s="56"/>
      <c r="AY469" s="208"/>
      <c r="AZ469" s="211"/>
    </row>
    <row r="470" ht="18" customHeight="1" hidden="1">
      <c r="A470" s="207"/>
      <c r="B470" s="208"/>
      <c r="C470" s="56"/>
      <c r="D470" s="56"/>
      <c r="E470" s="56"/>
      <c r="F470" s="56"/>
      <c r="G470" s="56"/>
      <c r="H470" s="56"/>
      <c r="I470" s="56"/>
      <c r="J470" s="56"/>
      <c r="K470" s="56"/>
      <c r="L470" s="256"/>
      <c r="M470" s="256"/>
      <c r="N470" s="256"/>
      <c r="O470" s="256"/>
      <c r="P470" s="256"/>
      <c r="Q470" s="256"/>
      <c r="R470" s="256"/>
      <c r="S470" s="208"/>
      <c r="T470" s="256"/>
      <c r="U470" s="256"/>
      <c r="V470" s="256"/>
      <c r="W470" s="256"/>
      <c r="X470" s="237"/>
      <c r="Y470" s="256"/>
      <c r="Z470" s="256"/>
      <c r="AA470" s="256"/>
      <c r="AB470" s="256"/>
      <c r="AC470" s="256"/>
      <c r="AD470" s="256"/>
      <c r="AE470" s="256"/>
      <c r="AF470" s="256"/>
      <c r="AG470" s="256"/>
      <c r="AH470" s="256"/>
      <c r="AI470" s="256"/>
      <c r="AJ470" s="256"/>
      <c r="AK470" s="237"/>
      <c r="AL470" s="56"/>
      <c r="AM470" s="56"/>
      <c r="AN470" s="56"/>
      <c r="AO470" s="56"/>
      <c r="AP470" s="56"/>
      <c r="AQ470" s="56"/>
      <c r="AR470" s="56"/>
      <c r="AS470" s="56"/>
      <c r="AT470" s="56"/>
      <c r="AU470" s="56"/>
      <c r="AV470" s="56"/>
      <c r="AW470" s="56"/>
      <c r="AX470" s="56"/>
      <c r="AY470" s="208"/>
      <c r="AZ470" s="211"/>
    </row>
    <row r="471" ht="18" customHeight="1" hidden="1">
      <c r="A471" s="207"/>
      <c r="B471" s="208"/>
      <c r="C471" s="56"/>
      <c r="D471" s="56"/>
      <c r="E471" s="56"/>
      <c r="F471" s="56"/>
      <c r="G471" s="56"/>
      <c r="H471" s="56"/>
      <c r="I471" s="56"/>
      <c r="J471" s="56"/>
      <c r="K471" s="56"/>
      <c r="L471" s="256"/>
      <c r="M471" s="256"/>
      <c r="N471" s="256"/>
      <c r="O471" s="256"/>
      <c r="P471" s="256"/>
      <c r="Q471" s="256"/>
      <c r="R471" s="256"/>
      <c r="S471" s="208"/>
      <c r="T471" s="256"/>
      <c r="U471" s="256"/>
      <c r="V471" s="256"/>
      <c r="W471" s="256"/>
      <c r="X471" s="237"/>
      <c r="Y471" s="256"/>
      <c r="Z471" s="256"/>
      <c r="AA471" s="256"/>
      <c r="AB471" s="256"/>
      <c r="AC471" s="256"/>
      <c r="AD471" s="256"/>
      <c r="AE471" s="256"/>
      <c r="AF471" s="256"/>
      <c r="AG471" s="256"/>
      <c r="AH471" s="256"/>
      <c r="AI471" s="256"/>
      <c r="AJ471" s="256"/>
      <c r="AK471" s="237"/>
      <c r="AL471" s="56"/>
      <c r="AM471" s="56"/>
      <c r="AN471" s="56"/>
      <c r="AO471" s="56"/>
      <c r="AP471" s="56"/>
      <c r="AQ471" s="56"/>
      <c r="AR471" s="56"/>
      <c r="AS471" s="56"/>
      <c r="AT471" s="56"/>
      <c r="AU471" s="56"/>
      <c r="AV471" s="56"/>
      <c r="AW471" s="56"/>
      <c r="AX471" s="56"/>
      <c r="AY471" s="208"/>
      <c r="AZ471" s="211"/>
    </row>
    <row r="472" ht="18" customHeight="1" hidden="1">
      <c r="A472" s="207"/>
      <c r="B472" s="208"/>
      <c r="C472" s="56"/>
      <c r="D472" s="56"/>
      <c r="E472" s="56"/>
      <c r="F472" s="56"/>
      <c r="G472" s="56"/>
      <c r="H472" s="56"/>
      <c r="I472" s="56"/>
      <c r="J472" s="56"/>
      <c r="K472" s="56"/>
      <c r="L472" s="256"/>
      <c r="M472" s="256"/>
      <c r="N472" s="256"/>
      <c r="O472" s="256"/>
      <c r="P472" s="256"/>
      <c r="Q472" s="256"/>
      <c r="R472" s="256"/>
      <c r="S472" s="208"/>
      <c r="T472" s="256"/>
      <c r="U472" s="256"/>
      <c r="V472" s="256"/>
      <c r="W472" s="256"/>
      <c r="X472" s="237"/>
      <c r="Y472" s="256"/>
      <c r="Z472" s="256"/>
      <c r="AA472" s="256"/>
      <c r="AB472" s="256"/>
      <c r="AC472" s="256"/>
      <c r="AD472" s="256"/>
      <c r="AE472" s="256"/>
      <c r="AF472" s="256"/>
      <c r="AG472" s="256"/>
      <c r="AH472" s="256"/>
      <c r="AI472" s="256"/>
      <c r="AJ472" s="256"/>
      <c r="AK472" s="237"/>
      <c r="AL472" s="56"/>
      <c r="AM472" s="56"/>
      <c r="AN472" s="56"/>
      <c r="AO472" s="56"/>
      <c r="AP472" s="56"/>
      <c r="AQ472" s="56"/>
      <c r="AR472" s="56"/>
      <c r="AS472" s="56"/>
      <c r="AT472" s="56"/>
      <c r="AU472" s="56"/>
      <c r="AV472" s="56"/>
      <c r="AW472" s="56"/>
      <c r="AX472" s="56"/>
      <c r="AY472" s="208"/>
      <c r="AZ472" s="211"/>
    </row>
    <row r="473" ht="18" customHeight="1" hidden="1">
      <c r="A473" s="207"/>
      <c r="B473" s="208"/>
      <c r="C473" s="56"/>
      <c r="D473" s="56"/>
      <c r="E473" s="56"/>
      <c r="F473" s="56"/>
      <c r="G473" s="56"/>
      <c r="H473" s="56"/>
      <c r="I473" s="56"/>
      <c r="J473" s="56"/>
      <c r="K473" s="56"/>
      <c r="L473" s="256"/>
      <c r="M473" s="256"/>
      <c r="N473" s="256"/>
      <c r="O473" s="256"/>
      <c r="P473" s="256"/>
      <c r="Q473" s="256"/>
      <c r="R473" s="256"/>
      <c r="S473" s="208"/>
      <c r="T473" s="256"/>
      <c r="U473" s="256"/>
      <c r="V473" s="256"/>
      <c r="W473" s="256"/>
      <c r="X473" s="237"/>
      <c r="Y473" s="256"/>
      <c r="Z473" s="256"/>
      <c r="AA473" s="256"/>
      <c r="AB473" s="256"/>
      <c r="AC473" s="256"/>
      <c r="AD473" s="256"/>
      <c r="AE473" s="256"/>
      <c r="AF473" s="256"/>
      <c r="AG473" s="256"/>
      <c r="AH473" s="256"/>
      <c r="AI473" s="256"/>
      <c r="AJ473" s="256"/>
      <c r="AK473" s="237"/>
      <c r="AL473" s="56"/>
      <c r="AM473" s="56"/>
      <c r="AN473" s="56"/>
      <c r="AO473" s="56"/>
      <c r="AP473" s="56"/>
      <c r="AQ473" s="56"/>
      <c r="AR473" s="56"/>
      <c r="AS473" s="56"/>
      <c r="AT473" s="56"/>
      <c r="AU473" s="56"/>
      <c r="AV473" s="56"/>
      <c r="AW473" s="56"/>
      <c r="AX473" s="56"/>
      <c r="AY473" s="208"/>
      <c r="AZ473" s="211"/>
    </row>
    <row r="474" ht="18" customHeight="1" hidden="1">
      <c r="A474" s="207"/>
      <c r="B474" s="208"/>
      <c r="C474" s="56"/>
      <c r="D474" s="56"/>
      <c r="E474" s="56"/>
      <c r="F474" s="56"/>
      <c r="G474" s="56"/>
      <c r="H474" s="56"/>
      <c r="I474" s="56"/>
      <c r="J474" s="56"/>
      <c r="K474" s="56"/>
      <c r="L474" s="256"/>
      <c r="M474" s="256"/>
      <c r="N474" s="256"/>
      <c r="O474" s="256"/>
      <c r="P474" s="256"/>
      <c r="Q474" s="256"/>
      <c r="R474" s="256"/>
      <c r="S474" s="208"/>
      <c r="T474" s="256"/>
      <c r="U474" s="256"/>
      <c r="V474" s="256"/>
      <c r="W474" s="256"/>
      <c r="X474" s="237"/>
      <c r="Y474" s="256"/>
      <c r="Z474" s="256"/>
      <c r="AA474" s="256"/>
      <c r="AB474" s="256"/>
      <c r="AC474" s="256"/>
      <c r="AD474" s="256"/>
      <c r="AE474" s="256"/>
      <c r="AF474" s="256"/>
      <c r="AG474" s="256"/>
      <c r="AH474" s="256"/>
      <c r="AI474" s="256"/>
      <c r="AJ474" s="256"/>
      <c r="AK474" s="237"/>
      <c r="AL474" s="56"/>
      <c r="AM474" s="56"/>
      <c r="AN474" s="56"/>
      <c r="AO474" s="56"/>
      <c r="AP474" s="56"/>
      <c r="AQ474" s="56"/>
      <c r="AR474" s="56"/>
      <c r="AS474" s="56"/>
      <c r="AT474" s="56"/>
      <c r="AU474" s="56"/>
      <c r="AV474" s="56"/>
      <c r="AW474" s="56"/>
      <c r="AX474" s="56"/>
      <c r="AY474" s="208"/>
      <c r="AZ474" s="211"/>
    </row>
    <row r="475" ht="18" customHeight="1" hidden="1">
      <c r="A475" s="207"/>
      <c r="B475" s="208"/>
      <c r="C475" s="56"/>
      <c r="D475" s="56"/>
      <c r="E475" s="56"/>
      <c r="F475" s="56"/>
      <c r="G475" s="56"/>
      <c r="H475" s="56"/>
      <c r="I475" s="56"/>
      <c r="J475" s="56"/>
      <c r="K475" s="56"/>
      <c r="L475" s="256"/>
      <c r="M475" s="256"/>
      <c r="N475" s="256"/>
      <c r="O475" s="256"/>
      <c r="P475" s="256"/>
      <c r="Q475" s="256"/>
      <c r="R475" s="256"/>
      <c r="S475" s="208"/>
      <c r="T475" s="256"/>
      <c r="U475" s="256"/>
      <c r="V475" s="256"/>
      <c r="W475" s="256"/>
      <c r="X475" s="237"/>
      <c r="Y475" s="256"/>
      <c r="Z475" s="256"/>
      <c r="AA475" s="256"/>
      <c r="AB475" s="256"/>
      <c r="AC475" s="256"/>
      <c r="AD475" s="256"/>
      <c r="AE475" s="256"/>
      <c r="AF475" s="256"/>
      <c r="AG475" s="256"/>
      <c r="AH475" s="256"/>
      <c r="AI475" s="256"/>
      <c r="AJ475" s="256"/>
      <c r="AK475" s="237"/>
      <c r="AL475" s="56"/>
      <c r="AM475" s="56"/>
      <c r="AN475" s="56"/>
      <c r="AO475" s="56"/>
      <c r="AP475" s="56"/>
      <c r="AQ475" s="56"/>
      <c r="AR475" s="56"/>
      <c r="AS475" s="56"/>
      <c r="AT475" s="56"/>
      <c r="AU475" s="56"/>
      <c r="AV475" s="56"/>
      <c r="AW475" s="56"/>
      <c r="AX475" s="56"/>
      <c r="AY475" s="208"/>
      <c r="AZ475" s="211"/>
    </row>
    <row r="476" ht="18" customHeight="1" hidden="1">
      <c r="A476" s="207"/>
      <c r="B476" s="208"/>
      <c r="C476" s="56"/>
      <c r="D476" s="56"/>
      <c r="E476" s="56"/>
      <c r="F476" s="56"/>
      <c r="G476" s="56"/>
      <c r="H476" s="56"/>
      <c r="I476" s="56"/>
      <c r="J476" s="56"/>
      <c r="K476" s="56"/>
      <c r="L476" s="256"/>
      <c r="M476" s="256"/>
      <c r="N476" s="256"/>
      <c r="O476" s="256"/>
      <c r="P476" s="256"/>
      <c r="Q476" s="256"/>
      <c r="R476" s="256"/>
      <c r="S476" s="208"/>
      <c r="T476" s="256"/>
      <c r="U476" s="256"/>
      <c r="V476" s="256"/>
      <c r="W476" s="256"/>
      <c r="X476" s="237"/>
      <c r="Y476" s="256"/>
      <c r="Z476" s="256"/>
      <c r="AA476" s="256"/>
      <c r="AB476" s="256"/>
      <c r="AC476" s="256"/>
      <c r="AD476" s="256"/>
      <c r="AE476" s="256"/>
      <c r="AF476" s="256"/>
      <c r="AG476" s="256"/>
      <c r="AH476" s="256"/>
      <c r="AI476" s="256"/>
      <c r="AJ476" s="256"/>
      <c r="AK476" s="237"/>
      <c r="AL476" s="56"/>
      <c r="AM476" s="56"/>
      <c r="AN476" s="56"/>
      <c r="AO476" s="56"/>
      <c r="AP476" s="56"/>
      <c r="AQ476" s="56"/>
      <c r="AR476" s="56"/>
      <c r="AS476" s="56"/>
      <c r="AT476" s="56"/>
      <c r="AU476" s="56"/>
      <c r="AV476" s="56"/>
      <c r="AW476" s="56"/>
      <c r="AX476" s="56"/>
      <c r="AY476" s="208"/>
      <c r="AZ476" s="211"/>
    </row>
    <row r="477" ht="18" customHeight="1" hidden="1">
      <c r="A477" s="207"/>
      <c r="B477" s="208"/>
      <c r="C477" s="56"/>
      <c r="D477" s="56"/>
      <c r="E477" s="56"/>
      <c r="F477" s="56"/>
      <c r="G477" s="56"/>
      <c r="H477" s="56"/>
      <c r="I477" s="56"/>
      <c r="J477" s="56"/>
      <c r="K477" s="56"/>
      <c r="L477" s="256"/>
      <c r="M477" s="256"/>
      <c r="N477" s="256"/>
      <c r="O477" s="256"/>
      <c r="P477" s="256"/>
      <c r="Q477" s="256"/>
      <c r="R477" s="256"/>
      <c r="S477" s="208"/>
      <c r="T477" s="256"/>
      <c r="U477" s="256"/>
      <c r="V477" s="256"/>
      <c r="W477" s="256"/>
      <c r="X477" s="237"/>
      <c r="Y477" s="256"/>
      <c r="Z477" s="256"/>
      <c r="AA477" s="256"/>
      <c r="AB477" s="256"/>
      <c r="AC477" s="256"/>
      <c r="AD477" s="256"/>
      <c r="AE477" s="256"/>
      <c r="AF477" s="256"/>
      <c r="AG477" s="256"/>
      <c r="AH477" s="256"/>
      <c r="AI477" s="256"/>
      <c r="AJ477" s="256"/>
      <c r="AK477" s="237"/>
      <c r="AL477" s="56"/>
      <c r="AM477" s="56"/>
      <c r="AN477" s="56"/>
      <c r="AO477" s="56"/>
      <c r="AP477" s="56"/>
      <c r="AQ477" s="56"/>
      <c r="AR477" s="56"/>
      <c r="AS477" s="56"/>
      <c r="AT477" s="56"/>
      <c r="AU477" s="56"/>
      <c r="AV477" s="56"/>
      <c r="AW477" s="56"/>
      <c r="AX477" s="56"/>
      <c r="AY477" s="208"/>
      <c r="AZ477" s="211"/>
    </row>
    <row r="478" ht="18" customHeight="1" hidden="1">
      <c r="A478" s="207"/>
      <c r="B478" s="208"/>
      <c r="C478" s="56"/>
      <c r="D478" s="56"/>
      <c r="E478" s="56"/>
      <c r="F478" s="56"/>
      <c r="G478" s="56"/>
      <c r="H478" s="56"/>
      <c r="I478" s="56"/>
      <c r="J478" s="56"/>
      <c r="K478" s="56"/>
      <c r="L478" s="256"/>
      <c r="M478" s="256"/>
      <c r="N478" s="256"/>
      <c r="O478" s="256"/>
      <c r="P478" s="256"/>
      <c r="Q478" s="256"/>
      <c r="R478" s="256"/>
      <c r="S478" s="208"/>
      <c r="T478" s="256"/>
      <c r="U478" s="256"/>
      <c r="V478" s="256"/>
      <c r="W478" s="256"/>
      <c r="X478" s="237"/>
      <c r="Y478" s="256"/>
      <c r="Z478" s="256"/>
      <c r="AA478" s="256"/>
      <c r="AB478" s="256"/>
      <c r="AC478" s="256"/>
      <c r="AD478" s="256"/>
      <c r="AE478" s="256"/>
      <c r="AF478" s="256"/>
      <c r="AG478" s="256"/>
      <c r="AH478" s="256"/>
      <c r="AI478" s="256"/>
      <c r="AJ478" s="256"/>
      <c r="AK478" s="237"/>
      <c r="AL478" s="56"/>
      <c r="AM478" s="56"/>
      <c r="AN478" s="56"/>
      <c r="AO478" s="56"/>
      <c r="AP478" s="56"/>
      <c r="AQ478" s="56"/>
      <c r="AR478" s="56"/>
      <c r="AS478" s="56"/>
      <c r="AT478" s="56"/>
      <c r="AU478" s="56"/>
      <c r="AV478" s="56"/>
      <c r="AW478" s="56"/>
      <c r="AX478" s="56"/>
      <c r="AY478" s="208"/>
      <c r="AZ478" s="211"/>
    </row>
    <row r="479" ht="18" customHeight="1" hidden="1">
      <c r="A479" s="207"/>
      <c r="B479" s="208"/>
      <c r="C479" s="56"/>
      <c r="D479" s="56"/>
      <c r="E479" s="56"/>
      <c r="F479" s="56"/>
      <c r="G479" s="56"/>
      <c r="H479" s="56"/>
      <c r="I479" s="56"/>
      <c r="J479" s="56"/>
      <c r="K479" s="56"/>
      <c r="L479" s="256"/>
      <c r="M479" s="256"/>
      <c r="N479" s="256"/>
      <c r="O479" s="256"/>
      <c r="P479" s="256"/>
      <c r="Q479" s="256"/>
      <c r="R479" s="256"/>
      <c r="S479" s="208"/>
      <c r="T479" s="256"/>
      <c r="U479" s="256"/>
      <c r="V479" s="256"/>
      <c r="W479" s="256"/>
      <c r="X479" s="237"/>
      <c r="Y479" s="256"/>
      <c r="Z479" s="256"/>
      <c r="AA479" s="256"/>
      <c r="AB479" s="256"/>
      <c r="AC479" s="256"/>
      <c r="AD479" s="256"/>
      <c r="AE479" s="256"/>
      <c r="AF479" s="256"/>
      <c r="AG479" s="256"/>
      <c r="AH479" s="256"/>
      <c r="AI479" s="256"/>
      <c r="AJ479" s="256"/>
      <c r="AK479" s="237"/>
      <c r="AL479" s="56"/>
      <c r="AM479" s="56"/>
      <c r="AN479" s="56"/>
      <c r="AO479" s="56"/>
      <c r="AP479" s="56"/>
      <c r="AQ479" s="56"/>
      <c r="AR479" s="56"/>
      <c r="AS479" s="56"/>
      <c r="AT479" s="56"/>
      <c r="AU479" s="56"/>
      <c r="AV479" s="56"/>
      <c r="AW479" s="56"/>
      <c r="AX479" s="56"/>
      <c r="AY479" s="208"/>
      <c r="AZ479" s="211"/>
    </row>
    <row r="480" ht="18" customHeight="1" hidden="1">
      <c r="A480" s="207"/>
      <c r="B480" s="208"/>
      <c r="C480" s="56"/>
      <c r="D480" s="56"/>
      <c r="E480" s="56"/>
      <c r="F480" s="56"/>
      <c r="G480" s="56"/>
      <c r="H480" s="56"/>
      <c r="I480" s="56"/>
      <c r="J480" s="56"/>
      <c r="K480" s="56"/>
      <c r="L480" s="256"/>
      <c r="M480" s="256"/>
      <c r="N480" s="256"/>
      <c r="O480" s="256"/>
      <c r="P480" s="256"/>
      <c r="Q480" s="256"/>
      <c r="R480" s="256"/>
      <c r="S480" s="208"/>
      <c r="T480" s="256"/>
      <c r="U480" s="256"/>
      <c r="V480" s="256"/>
      <c r="W480" s="256"/>
      <c r="X480" s="237"/>
      <c r="Y480" s="256"/>
      <c r="Z480" s="256"/>
      <c r="AA480" s="256"/>
      <c r="AB480" s="256"/>
      <c r="AC480" s="256"/>
      <c r="AD480" s="256"/>
      <c r="AE480" s="256"/>
      <c r="AF480" s="256"/>
      <c r="AG480" s="256"/>
      <c r="AH480" s="256"/>
      <c r="AI480" s="256"/>
      <c r="AJ480" s="256"/>
      <c r="AK480" s="237"/>
      <c r="AL480" s="56"/>
      <c r="AM480" s="56"/>
      <c r="AN480" s="56"/>
      <c r="AO480" s="56"/>
      <c r="AP480" s="56"/>
      <c r="AQ480" s="56"/>
      <c r="AR480" s="56"/>
      <c r="AS480" s="56"/>
      <c r="AT480" s="56"/>
      <c r="AU480" s="56"/>
      <c r="AV480" s="56"/>
      <c r="AW480" s="56"/>
      <c r="AX480" s="56"/>
      <c r="AY480" s="208"/>
      <c r="AZ480" s="211"/>
    </row>
    <row r="481" ht="18" customHeight="1" hidden="1">
      <c r="A481" s="207"/>
      <c r="B481" s="208"/>
      <c r="C481" s="56"/>
      <c r="D481" s="56"/>
      <c r="E481" s="56"/>
      <c r="F481" s="56"/>
      <c r="G481" s="56"/>
      <c r="H481" s="56"/>
      <c r="I481" s="56"/>
      <c r="J481" s="56"/>
      <c r="K481" s="56"/>
      <c r="L481" s="256"/>
      <c r="M481" s="256"/>
      <c r="N481" s="256"/>
      <c r="O481" s="256"/>
      <c r="P481" s="256"/>
      <c r="Q481" s="256"/>
      <c r="R481" s="256"/>
      <c r="S481" s="208"/>
      <c r="T481" s="256"/>
      <c r="U481" s="256"/>
      <c r="V481" s="256"/>
      <c r="W481" s="256"/>
      <c r="X481" s="237"/>
      <c r="Y481" s="256"/>
      <c r="Z481" s="256"/>
      <c r="AA481" s="256"/>
      <c r="AB481" s="256"/>
      <c r="AC481" s="256"/>
      <c r="AD481" s="256"/>
      <c r="AE481" s="256"/>
      <c r="AF481" s="256"/>
      <c r="AG481" s="256"/>
      <c r="AH481" s="256"/>
      <c r="AI481" s="256"/>
      <c r="AJ481" s="256"/>
      <c r="AK481" s="237"/>
      <c r="AL481" s="56"/>
      <c r="AM481" s="56"/>
      <c r="AN481" s="56"/>
      <c r="AO481" s="56"/>
      <c r="AP481" s="56"/>
      <c r="AQ481" s="56"/>
      <c r="AR481" s="56"/>
      <c r="AS481" s="56"/>
      <c r="AT481" s="56"/>
      <c r="AU481" s="56"/>
      <c r="AV481" s="56"/>
      <c r="AW481" s="56"/>
      <c r="AX481" s="56"/>
      <c r="AY481" s="208"/>
      <c r="AZ481" s="211"/>
    </row>
    <row r="482" ht="18" customHeight="1" hidden="1">
      <c r="A482" s="207"/>
      <c r="B482" s="208"/>
      <c r="C482" s="56"/>
      <c r="D482" s="56"/>
      <c r="E482" s="56"/>
      <c r="F482" s="56"/>
      <c r="G482" s="56"/>
      <c r="H482" s="56"/>
      <c r="I482" s="56"/>
      <c r="J482" s="56"/>
      <c r="K482" s="56"/>
      <c r="L482" s="256"/>
      <c r="M482" s="256"/>
      <c r="N482" s="256"/>
      <c r="O482" s="256"/>
      <c r="P482" s="256"/>
      <c r="Q482" s="256"/>
      <c r="R482" s="256"/>
      <c r="S482" s="208"/>
      <c r="T482" s="256"/>
      <c r="U482" s="256"/>
      <c r="V482" s="256"/>
      <c r="W482" s="256"/>
      <c r="X482" s="237"/>
      <c r="Y482" s="256"/>
      <c r="Z482" s="256"/>
      <c r="AA482" s="256"/>
      <c r="AB482" s="256"/>
      <c r="AC482" s="256"/>
      <c r="AD482" s="256"/>
      <c r="AE482" s="256"/>
      <c r="AF482" s="256"/>
      <c r="AG482" s="256"/>
      <c r="AH482" s="256"/>
      <c r="AI482" s="256"/>
      <c r="AJ482" s="256"/>
      <c r="AK482" s="237"/>
      <c r="AL482" s="56"/>
      <c r="AM482" s="56"/>
      <c r="AN482" s="56"/>
      <c r="AO482" s="56"/>
      <c r="AP482" s="56"/>
      <c r="AQ482" s="56"/>
      <c r="AR482" s="56"/>
      <c r="AS482" s="56"/>
      <c r="AT482" s="56"/>
      <c r="AU482" s="56"/>
      <c r="AV482" s="56"/>
      <c r="AW482" s="56"/>
      <c r="AX482" s="56"/>
      <c r="AY482" s="208"/>
      <c r="AZ482" s="211"/>
    </row>
    <row r="483" ht="18" customHeight="1" hidden="1">
      <c r="A483" s="207"/>
      <c r="B483" s="208"/>
      <c r="C483" s="56"/>
      <c r="D483" s="56"/>
      <c r="E483" s="56"/>
      <c r="F483" s="56"/>
      <c r="G483" s="56"/>
      <c r="H483" s="56"/>
      <c r="I483" s="56"/>
      <c r="J483" s="56"/>
      <c r="K483" s="56"/>
      <c r="L483" s="256"/>
      <c r="M483" s="256"/>
      <c r="N483" s="256"/>
      <c r="O483" s="256"/>
      <c r="P483" s="256"/>
      <c r="Q483" s="256"/>
      <c r="R483" s="256"/>
      <c r="S483" s="208"/>
      <c r="T483" s="256"/>
      <c r="U483" s="256"/>
      <c r="V483" s="256"/>
      <c r="W483" s="256"/>
      <c r="X483" s="237"/>
      <c r="Y483" s="256"/>
      <c r="Z483" s="256"/>
      <c r="AA483" s="256"/>
      <c r="AB483" s="256"/>
      <c r="AC483" s="256"/>
      <c r="AD483" s="256"/>
      <c r="AE483" s="256"/>
      <c r="AF483" s="256"/>
      <c r="AG483" s="256"/>
      <c r="AH483" s="256"/>
      <c r="AI483" s="256"/>
      <c r="AJ483" s="256"/>
      <c r="AK483" s="237"/>
      <c r="AL483" s="56"/>
      <c r="AM483" s="56"/>
      <c r="AN483" s="56"/>
      <c r="AO483" s="56"/>
      <c r="AP483" s="56"/>
      <c r="AQ483" s="56"/>
      <c r="AR483" s="56"/>
      <c r="AS483" s="56"/>
      <c r="AT483" s="56"/>
      <c r="AU483" s="56"/>
      <c r="AV483" s="56"/>
      <c r="AW483" s="56"/>
      <c r="AX483" s="56"/>
      <c r="AY483" s="208"/>
      <c r="AZ483" s="211"/>
    </row>
    <row r="484" ht="18" customHeight="1" hidden="1">
      <c r="A484" s="207"/>
      <c r="B484" s="208"/>
      <c r="C484" s="56"/>
      <c r="D484" s="56"/>
      <c r="E484" s="56"/>
      <c r="F484" s="56"/>
      <c r="G484" s="56"/>
      <c r="H484" s="56"/>
      <c r="I484" s="56"/>
      <c r="J484" s="56"/>
      <c r="K484" s="56"/>
      <c r="L484" s="256"/>
      <c r="M484" s="256"/>
      <c r="N484" s="256"/>
      <c r="O484" s="256"/>
      <c r="P484" s="256"/>
      <c r="Q484" s="256"/>
      <c r="R484" s="256"/>
      <c r="S484" s="208"/>
      <c r="T484" s="256"/>
      <c r="U484" s="256"/>
      <c r="V484" s="256"/>
      <c r="W484" s="256"/>
      <c r="X484" s="237"/>
      <c r="Y484" s="256"/>
      <c r="Z484" s="256"/>
      <c r="AA484" s="256"/>
      <c r="AB484" s="256"/>
      <c r="AC484" s="256"/>
      <c r="AD484" s="256"/>
      <c r="AE484" s="256"/>
      <c r="AF484" s="256"/>
      <c r="AG484" s="256"/>
      <c r="AH484" s="256"/>
      <c r="AI484" s="256"/>
      <c r="AJ484" s="256"/>
      <c r="AK484" s="237"/>
      <c r="AL484" s="56"/>
      <c r="AM484" s="56"/>
      <c r="AN484" s="56"/>
      <c r="AO484" s="56"/>
      <c r="AP484" s="56"/>
      <c r="AQ484" s="56"/>
      <c r="AR484" s="56"/>
      <c r="AS484" s="56"/>
      <c r="AT484" s="56"/>
      <c r="AU484" s="56"/>
      <c r="AV484" s="56"/>
      <c r="AW484" s="56"/>
      <c r="AX484" s="56"/>
      <c r="AY484" s="208"/>
      <c r="AZ484" s="211"/>
    </row>
    <row r="485" ht="18" customHeight="1" hidden="1">
      <c r="A485" s="207"/>
      <c r="B485" s="208"/>
      <c r="C485" s="56"/>
      <c r="D485" s="56"/>
      <c r="E485" s="56"/>
      <c r="F485" s="56"/>
      <c r="G485" s="56"/>
      <c r="H485" s="56"/>
      <c r="I485" s="56"/>
      <c r="J485" s="56"/>
      <c r="K485" s="56"/>
      <c r="L485" s="256"/>
      <c r="M485" s="256"/>
      <c r="N485" s="256"/>
      <c r="O485" s="256"/>
      <c r="P485" s="256"/>
      <c r="Q485" s="256"/>
      <c r="R485" s="256"/>
      <c r="S485" s="208"/>
      <c r="T485" s="256"/>
      <c r="U485" s="256"/>
      <c r="V485" s="256"/>
      <c r="W485" s="256"/>
      <c r="X485" s="237"/>
      <c r="Y485" s="256"/>
      <c r="Z485" s="256"/>
      <c r="AA485" s="256"/>
      <c r="AB485" s="256"/>
      <c r="AC485" s="256"/>
      <c r="AD485" s="256"/>
      <c r="AE485" s="256"/>
      <c r="AF485" s="256"/>
      <c r="AG485" s="256"/>
      <c r="AH485" s="256"/>
      <c r="AI485" s="256"/>
      <c r="AJ485" s="256"/>
      <c r="AK485" s="237"/>
      <c r="AL485" s="56"/>
      <c r="AM485" s="56"/>
      <c r="AN485" s="56"/>
      <c r="AO485" s="56"/>
      <c r="AP485" s="56"/>
      <c r="AQ485" s="56"/>
      <c r="AR485" s="56"/>
      <c r="AS485" s="56"/>
      <c r="AT485" s="56"/>
      <c r="AU485" s="56"/>
      <c r="AV485" s="56"/>
      <c r="AW485" s="56"/>
      <c r="AX485" s="56"/>
      <c r="AY485" s="208"/>
      <c r="AZ485" s="211"/>
    </row>
    <row r="486" ht="18" customHeight="1" hidden="1">
      <c r="A486" s="207"/>
      <c r="B486" s="208"/>
      <c r="C486" s="56"/>
      <c r="D486" s="56"/>
      <c r="E486" s="56"/>
      <c r="F486" s="56"/>
      <c r="G486" s="56"/>
      <c r="H486" s="56"/>
      <c r="I486" s="56"/>
      <c r="J486" s="56"/>
      <c r="K486" s="56"/>
      <c r="L486" s="256"/>
      <c r="M486" s="256"/>
      <c r="N486" s="256"/>
      <c r="O486" s="256"/>
      <c r="P486" s="256"/>
      <c r="Q486" s="256"/>
      <c r="R486" s="256"/>
      <c r="S486" s="208"/>
      <c r="T486" s="256"/>
      <c r="U486" s="256"/>
      <c r="V486" s="256"/>
      <c r="W486" s="256"/>
      <c r="X486" s="237"/>
      <c r="Y486" s="256"/>
      <c r="Z486" s="256"/>
      <c r="AA486" s="256"/>
      <c r="AB486" s="256"/>
      <c r="AC486" s="256"/>
      <c r="AD486" s="256"/>
      <c r="AE486" s="256"/>
      <c r="AF486" s="256"/>
      <c r="AG486" s="256"/>
      <c r="AH486" s="256"/>
      <c r="AI486" s="256"/>
      <c r="AJ486" s="256"/>
      <c r="AK486" s="237"/>
      <c r="AL486" s="56"/>
      <c r="AM486" s="56"/>
      <c r="AN486" s="56"/>
      <c r="AO486" s="56"/>
      <c r="AP486" s="56"/>
      <c r="AQ486" s="56"/>
      <c r="AR486" s="56"/>
      <c r="AS486" s="56"/>
      <c r="AT486" s="56"/>
      <c r="AU486" s="56"/>
      <c r="AV486" s="56"/>
      <c r="AW486" s="56"/>
      <c r="AX486" s="56"/>
      <c r="AY486" s="208"/>
      <c r="AZ486" s="211"/>
    </row>
    <row r="487" ht="18" customHeight="1" hidden="1">
      <c r="A487" s="207"/>
      <c r="B487" s="208"/>
      <c r="C487" s="56"/>
      <c r="D487" s="56"/>
      <c r="E487" s="56"/>
      <c r="F487" s="56"/>
      <c r="G487" s="56"/>
      <c r="H487" s="56"/>
      <c r="I487" s="56"/>
      <c r="J487" s="56"/>
      <c r="K487" s="56"/>
      <c r="L487" s="256"/>
      <c r="M487" s="256"/>
      <c r="N487" s="256"/>
      <c r="O487" s="256"/>
      <c r="P487" s="256"/>
      <c r="Q487" s="256"/>
      <c r="R487" s="256"/>
      <c r="S487" s="208"/>
      <c r="T487" s="256"/>
      <c r="U487" s="256"/>
      <c r="V487" s="256"/>
      <c r="W487" s="256"/>
      <c r="X487" s="237"/>
      <c r="Y487" s="256"/>
      <c r="Z487" s="256"/>
      <c r="AA487" s="256"/>
      <c r="AB487" s="256"/>
      <c r="AC487" s="256"/>
      <c r="AD487" s="256"/>
      <c r="AE487" s="256"/>
      <c r="AF487" s="256"/>
      <c r="AG487" s="256"/>
      <c r="AH487" s="256"/>
      <c r="AI487" s="256"/>
      <c r="AJ487" s="256"/>
      <c r="AK487" s="237"/>
      <c r="AL487" s="56"/>
      <c r="AM487" s="56"/>
      <c r="AN487" s="56"/>
      <c r="AO487" s="56"/>
      <c r="AP487" s="56"/>
      <c r="AQ487" s="56"/>
      <c r="AR487" s="56"/>
      <c r="AS487" s="56"/>
      <c r="AT487" s="56"/>
      <c r="AU487" s="56"/>
      <c r="AV487" s="56"/>
      <c r="AW487" s="56"/>
      <c r="AX487" s="56"/>
      <c r="AY487" s="208"/>
      <c r="AZ487" s="211"/>
    </row>
    <row r="488" ht="18" customHeight="1" hidden="1">
      <c r="A488" s="207"/>
      <c r="B488" s="208"/>
      <c r="C488" s="56"/>
      <c r="D488" s="56"/>
      <c r="E488" s="56"/>
      <c r="F488" s="56"/>
      <c r="G488" s="56"/>
      <c r="H488" s="56"/>
      <c r="I488" s="56"/>
      <c r="J488" s="56"/>
      <c r="K488" s="56"/>
      <c r="L488" s="256"/>
      <c r="M488" s="256"/>
      <c r="N488" s="256"/>
      <c r="O488" s="256"/>
      <c r="P488" s="256"/>
      <c r="Q488" s="256"/>
      <c r="R488" s="256"/>
      <c r="S488" s="208"/>
      <c r="T488" s="256"/>
      <c r="U488" s="256"/>
      <c r="V488" s="256"/>
      <c r="W488" s="256"/>
      <c r="X488" s="237"/>
      <c r="Y488" s="256"/>
      <c r="Z488" s="256"/>
      <c r="AA488" s="256"/>
      <c r="AB488" s="256"/>
      <c r="AC488" s="256"/>
      <c r="AD488" s="256"/>
      <c r="AE488" s="256"/>
      <c r="AF488" s="256"/>
      <c r="AG488" s="256"/>
      <c r="AH488" s="256"/>
      <c r="AI488" s="256"/>
      <c r="AJ488" s="256"/>
      <c r="AK488" s="237"/>
      <c r="AL488" s="56"/>
      <c r="AM488" s="56"/>
      <c r="AN488" s="56"/>
      <c r="AO488" s="56"/>
      <c r="AP488" s="56"/>
      <c r="AQ488" s="56"/>
      <c r="AR488" s="56"/>
      <c r="AS488" s="56"/>
      <c r="AT488" s="56"/>
      <c r="AU488" s="56"/>
      <c r="AV488" s="56"/>
      <c r="AW488" s="56"/>
      <c r="AX488" s="56"/>
      <c r="AY488" s="208"/>
      <c r="AZ488" s="211"/>
    </row>
    <row r="489" ht="18" customHeight="1" hidden="1">
      <c r="A489" s="207"/>
      <c r="B489" s="208"/>
      <c r="C489" s="56"/>
      <c r="D489" s="56"/>
      <c r="E489" s="56"/>
      <c r="F489" s="56"/>
      <c r="G489" s="56"/>
      <c r="H489" s="56"/>
      <c r="I489" s="56"/>
      <c r="J489" s="56"/>
      <c r="K489" s="56"/>
      <c r="L489" s="256"/>
      <c r="M489" s="256"/>
      <c r="N489" s="256"/>
      <c r="O489" s="256"/>
      <c r="P489" s="256"/>
      <c r="Q489" s="256"/>
      <c r="R489" s="256"/>
      <c r="S489" s="208"/>
      <c r="T489" s="256"/>
      <c r="U489" s="256"/>
      <c r="V489" s="256"/>
      <c r="W489" s="256"/>
      <c r="X489" s="237"/>
      <c r="Y489" s="256"/>
      <c r="Z489" s="256"/>
      <c r="AA489" s="256"/>
      <c r="AB489" s="256"/>
      <c r="AC489" s="256"/>
      <c r="AD489" s="256"/>
      <c r="AE489" s="256"/>
      <c r="AF489" s="256"/>
      <c r="AG489" s="256"/>
      <c r="AH489" s="256"/>
      <c r="AI489" s="256"/>
      <c r="AJ489" s="256"/>
      <c r="AK489" s="237"/>
      <c r="AL489" s="56"/>
      <c r="AM489" s="56"/>
      <c r="AN489" s="56"/>
      <c r="AO489" s="56"/>
      <c r="AP489" s="56"/>
      <c r="AQ489" s="56"/>
      <c r="AR489" s="56"/>
      <c r="AS489" s="56"/>
      <c r="AT489" s="56"/>
      <c r="AU489" s="56"/>
      <c r="AV489" s="56"/>
      <c r="AW489" s="56"/>
      <c r="AX489" s="56"/>
      <c r="AY489" s="208"/>
      <c r="AZ489" s="211"/>
    </row>
    <row r="490" ht="18" customHeight="1" hidden="1">
      <c r="A490" s="207"/>
      <c r="B490" s="208"/>
      <c r="C490" s="56"/>
      <c r="D490" s="56"/>
      <c r="E490" s="56"/>
      <c r="F490" s="56"/>
      <c r="G490" s="56"/>
      <c r="H490" s="56"/>
      <c r="I490" s="56"/>
      <c r="J490" s="56"/>
      <c r="K490" s="56"/>
      <c r="L490" s="256"/>
      <c r="M490" s="256"/>
      <c r="N490" s="256"/>
      <c r="O490" s="256"/>
      <c r="P490" s="256"/>
      <c r="Q490" s="256"/>
      <c r="R490" s="256"/>
      <c r="S490" s="208"/>
      <c r="T490" s="256"/>
      <c r="U490" s="256"/>
      <c r="V490" s="256"/>
      <c r="W490" s="256"/>
      <c r="X490" s="237"/>
      <c r="Y490" s="256"/>
      <c r="Z490" s="256"/>
      <c r="AA490" s="256"/>
      <c r="AB490" s="256"/>
      <c r="AC490" s="256"/>
      <c r="AD490" s="256"/>
      <c r="AE490" s="256"/>
      <c r="AF490" s="256"/>
      <c r="AG490" s="256"/>
      <c r="AH490" s="256"/>
      <c r="AI490" s="256"/>
      <c r="AJ490" s="256"/>
      <c r="AK490" s="237"/>
      <c r="AL490" s="56"/>
      <c r="AM490" s="56"/>
      <c r="AN490" s="56"/>
      <c r="AO490" s="56"/>
      <c r="AP490" s="56"/>
      <c r="AQ490" s="56"/>
      <c r="AR490" s="56"/>
      <c r="AS490" s="56"/>
      <c r="AT490" s="56"/>
      <c r="AU490" s="56"/>
      <c r="AV490" s="56"/>
      <c r="AW490" s="56"/>
      <c r="AX490" s="56"/>
      <c r="AY490" s="208"/>
      <c r="AZ490" s="211"/>
    </row>
    <row r="491" ht="18" customHeight="1" hidden="1">
      <c r="A491" s="207"/>
      <c r="B491" s="208"/>
      <c r="C491" s="56"/>
      <c r="D491" s="56"/>
      <c r="E491" s="56"/>
      <c r="F491" s="56"/>
      <c r="G491" s="56"/>
      <c r="H491" s="56"/>
      <c r="I491" s="56"/>
      <c r="J491" s="56"/>
      <c r="K491" s="56"/>
      <c r="L491" s="256"/>
      <c r="M491" s="256"/>
      <c r="N491" s="256"/>
      <c r="O491" s="256"/>
      <c r="P491" s="256"/>
      <c r="Q491" s="256"/>
      <c r="R491" s="256"/>
      <c r="S491" s="208"/>
      <c r="T491" s="256"/>
      <c r="U491" s="256"/>
      <c r="V491" s="256"/>
      <c r="W491" s="256"/>
      <c r="X491" s="237"/>
      <c r="Y491" s="256"/>
      <c r="Z491" s="256"/>
      <c r="AA491" s="256"/>
      <c r="AB491" s="256"/>
      <c r="AC491" s="256"/>
      <c r="AD491" s="256"/>
      <c r="AE491" s="256"/>
      <c r="AF491" s="256"/>
      <c r="AG491" s="256"/>
      <c r="AH491" s="256"/>
      <c r="AI491" s="256"/>
      <c r="AJ491" s="256"/>
      <c r="AK491" s="237"/>
      <c r="AL491" s="56"/>
      <c r="AM491" s="56"/>
      <c r="AN491" s="56"/>
      <c r="AO491" s="56"/>
      <c r="AP491" s="56"/>
      <c r="AQ491" s="56"/>
      <c r="AR491" s="56"/>
      <c r="AS491" s="56"/>
      <c r="AT491" s="56"/>
      <c r="AU491" s="56"/>
      <c r="AV491" s="56"/>
      <c r="AW491" s="56"/>
      <c r="AX491" s="56"/>
      <c r="AY491" s="208"/>
      <c r="AZ491" s="211"/>
    </row>
    <row r="492" ht="18" customHeight="1" hidden="1">
      <c r="A492" s="207"/>
      <c r="B492" s="208"/>
      <c r="C492" s="56"/>
      <c r="D492" s="56"/>
      <c r="E492" s="56"/>
      <c r="F492" s="56"/>
      <c r="G492" s="56"/>
      <c r="H492" s="56"/>
      <c r="I492" s="56"/>
      <c r="J492" s="56"/>
      <c r="K492" s="56"/>
      <c r="L492" s="256"/>
      <c r="M492" s="256"/>
      <c r="N492" s="256"/>
      <c r="O492" s="256"/>
      <c r="P492" s="256"/>
      <c r="Q492" s="256"/>
      <c r="R492" s="256"/>
      <c r="S492" s="208"/>
      <c r="T492" s="256"/>
      <c r="U492" s="256"/>
      <c r="V492" s="256"/>
      <c r="W492" s="256"/>
      <c r="X492" s="237"/>
      <c r="Y492" s="256"/>
      <c r="Z492" s="256"/>
      <c r="AA492" s="256"/>
      <c r="AB492" s="256"/>
      <c r="AC492" s="256"/>
      <c r="AD492" s="256"/>
      <c r="AE492" s="256"/>
      <c r="AF492" s="256"/>
      <c r="AG492" s="256"/>
      <c r="AH492" s="256"/>
      <c r="AI492" s="256"/>
      <c r="AJ492" s="256"/>
      <c r="AK492" s="237"/>
      <c r="AL492" s="56"/>
      <c r="AM492" s="56"/>
      <c r="AN492" s="56"/>
      <c r="AO492" s="56"/>
      <c r="AP492" s="56"/>
      <c r="AQ492" s="56"/>
      <c r="AR492" s="56"/>
      <c r="AS492" s="56"/>
      <c r="AT492" s="56"/>
      <c r="AU492" s="56"/>
      <c r="AV492" s="56"/>
      <c r="AW492" s="56"/>
      <c r="AX492" s="56"/>
      <c r="AY492" s="208"/>
      <c r="AZ492" s="211"/>
    </row>
    <row r="493" ht="18" customHeight="1" hidden="1">
      <c r="A493" s="207"/>
      <c r="B493" s="208"/>
      <c r="C493" s="56"/>
      <c r="D493" s="56"/>
      <c r="E493" s="56"/>
      <c r="F493" s="56"/>
      <c r="G493" s="56"/>
      <c r="H493" s="56"/>
      <c r="I493" s="56"/>
      <c r="J493" s="56"/>
      <c r="K493" s="56"/>
      <c r="L493" s="256"/>
      <c r="M493" s="256"/>
      <c r="N493" s="256"/>
      <c r="O493" s="256"/>
      <c r="P493" s="256"/>
      <c r="Q493" s="256"/>
      <c r="R493" s="256"/>
      <c r="S493" s="208"/>
      <c r="T493" s="256"/>
      <c r="U493" s="256"/>
      <c r="V493" s="256"/>
      <c r="W493" s="256"/>
      <c r="X493" s="237"/>
      <c r="Y493" s="256"/>
      <c r="Z493" s="256"/>
      <c r="AA493" s="256"/>
      <c r="AB493" s="256"/>
      <c r="AC493" s="256"/>
      <c r="AD493" s="256"/>
      <c r="AE493" s="256"/>
      <c r="AF493" s="256"/>
      <c r="AG493" s="256"/>
      <c r="AH493" s="256"/>
      <c r="AI493" s="256"/>
      <c r="AJ493" s="256"/>
      <c r="AK493" s="237"/>
      <c r="AL493" s="56"/>
      <c r="AM493" s="56"/>
      <c r="AN493" s="56"/>
      <c r="AO493" s="56"/>
      <c r="AP493" s="56"/>
      <c r="AQ493" s="56"/>
      <c r="AR493" s="56"/>
      <c r="AS493" s="56"/>
      <c r="AT493" s="56"/>
      <c r="AU493" s="56"/>
      <c r="AV493" s="56"/>
      <c r="AW493" s="56"/>
      <c r="AX493" s="56"/>
      <c r="AY493" s="208"/>
      <c r="AZ493" s="211"/>
    </row>
    <row r="494" ht="18" customHeight="1" hidden="1">
      <c r="A494" s="207"/>
      <c r="B494" s="208"/>
      <c r="C494" s="56"/>
      <c r="D494" s="56"/>
      <c r="E494" s="56"/>
      <c r="F494" s="56"/>
      <c r="G494" s="56"/>
      <c r="H494" s="56"/>
      <c r="I494" s="56"/>
      <c r="J494" s="56"/>
      <c r="K494" s="56"/>
      <c r="L494" s="256"/>
      <c r="M494" s="256"/>
      <c r="N494" s="256"/>
      <c r="O494" s="256"/>
      <c r="P494" s="256"/>
      <c r="Q494" s="256"/>
      <c r="R494" s="256"/>
      <c r="S494" s="208"/>
      <c r="T494" s="256"/>
      <c r="U494" s="256"/>
      <c r="V494" s="256"/>
      <c r="W494" s="256"/>
      <c r="X494" s="237"/>
      <c r="Y494" s="256"/>
      <c r="Z494" s="256"/>
      <c r="AA494" s="256"/>
      <c r="AB494" s="256"/>
      <c r="AC494" s="256"/>
      <c r="AD494" s="256"/>
      <c r="AE494" s="256"/>
      <c r="AF494" s="256"/>
      <c r="AG494" s="256"/>
      <c r="AH494" s="256"/>
      <c r="AI494" s="256"/>
      <c r="AJ494" s="256"/>
      <c r="AK494" s="237"/>
      <c r="AL494" s="56"/>
      <c r="AM494" s="56"/>
      <c r="AN494" s="56"/>
      <c r="AO494" s="56"/>
      <c r="AP494" s="56"/>
      <c r="AQ494" s="56"/>
      <c r="AR494" s="56"/>
      <c r="AS494" s="56"/>
      <c r="AT494" s="56"/>
      <c r="AU494" s="56"/>
      <c r="AV494" s="56"/>
      <c r="AW494" s="56"/>
      <c r="AX494" s="56"/>
      <c r="AY494" s="208"/>
      <c r="AZ494" s="211"/>
    </row>
    <row r="495" ht="18" customHeight="1" hidden="1">
      <c r="A495" s="207"/>
      <c r="B495" s="208"/>
      <c r="C495" s="56"/>
      <c r="D495" s="56"/>
      <c r="E495" s="56"/>
      <c r="F495" s="56"/>
      <c r="G495" s="56"/>
      <c r="H495" s="56"/>
      <c r="I495" s="56"/>
      <c r="J495" s="56"/>
      <c r="K495" s="56"/>
      <c r="L495" s="256"/>
      <c r="M495" s="256"/>
      <c r="N495" s="256"/>
      <c r="O495" s="256"/>
      <c r="P495" s="256"/>
      <c r="Q495" s="256"/>
      <c r="R495" s="256"/>
      <c r="S495" s="208"/>
      <c r="T495" s="256"/>
      <c r="U495" s="256"/>
      <c r="V495" s="256"/>
      <c r="W495" s="256"/>
      <c r="X495" s="237"/>
      <c r="Y495" s="256"/>
      <c r="Z495" s="256"/>
      <c r="AA495" s="256"/>
      <c r="AB495" s="256"/>
      <c r="AC495" s="256"/>
      <c r="AD495" s="256"/>
      <c r="AE495" s="256"/>
      <c r="AF495" s="256"/>
      <c r="AG495" s="256"/>
      <c r="AH495" s="256"/>
      <c r="AI495" s="256"/>
      <c r="AJ495" s="256"/>
      <c r="AK495" s="237"/>
      <c r="AL495" s="56"/>
      <c r="AM495" s="56"/>
      <c r="AN495" s="56"/>
      <c r="AO495" s="56"/>
      <c r="AP495" s="56"/>
      <c r="AQ495" s="56"/>
      <c r="AR495" s="56"/>
      <c r="AS495" s="56"/>
      <c r="AT495" s="56"/>
      <c r="AU495" s="56"/>
      <c r="AV495" s="56"/>
      <c r="AW495" s="56"/>
      <c r="AX495" s="56"/>
      <c r="AY495" s="208"/>
      <c r="AZ495" s="211"/>
    </row>
    <row r="496" ht="18" customHeight="1" hidden="1">
      <c r="A496" s="207"/>
      <c r="B496" s="208"/>
      <c r="C496" s="56"/>
      <c r="D496" s="56"/>
      <c r="E496" s="56"/>
      <c r="F496" s="56"/>
      <c r="G496" s="56"/>
      <c r="H496" s="56"/>
      <c r="I496" s="56"/>
      <c r="J496" s="56"/>
      <c r="K496" s="56"/>
      <c r="L496" s="256"/>
      <c r="M496" s="256"/>
      <c r="N496" s="256"/>
      <c r="O496" s="256"/>
      <c r="P496" s="256"/>
      <c r="Q496" s="256"/>
      <c r="R496" s="256"/>
      <c r="S496" s="208"/>
      <c r="T496" s="256"/>
      <c r="U496" s="256"/>
      <c r="V496" s="256"/>
      <c r="W496" s="256"/>
      <c r="X496" s="237"/>
      <c r="Y496" s="256"/>
      <c r="Z496" s="256"/>
      <c r="AA496" s="256"/>
      <c r="AB496" s="256"/>
      <c r="AC496" s="256"/>
      <c r="AD496" s="256"/>
      <c r="AE496" s="256"/>
      <c r="AF496" s="256"/>
      <c r="AG496" s="256"/>
      <c r="AH496" s="256"/>
      <c r="AI496" s="256"/>
      <c r="AJ496" s="256"/>
      <c r="AK496" s="237"/>
      <c r="AL496" s="56"/>
      <c r="AM496" s="56"/>
      <c r="AN496" s="56"/>
      <c r="AO496" s="56"/>
      <c r="AP496" s="56"/>
      <c r="AQ496" s="56"/>
      <c r="AR496" s="56"/>
      <c r="AS496" s="56"/>
      <c r="AT496" s="56"/>
      <c r="AU496" s="56"/>
      <c r="AV496" s="56"/>
      <c r="AW496" s="56"/>
      <c r="AX496" s="56"/>
      <c r="AY496" s="208"/>
      <c r="AZ496" s="211"/>
    </row>
    <row r="497" ht="18" customHeight="1" hidden="1">
      <c r="A497" s="207"/>
      <c r="B497" s="208"/>
      <c r="C497" s="56"/>
      <c r="D497" s="56"/>
      <c r="E497" s="56"/>
      <c r="F497" s="56"/>
      <c r="G497" s="56"/>
      <c r="H497" s="56"/>
      <c r="I497" s="56"/>
      <c r="J497" s="56"/>
      <c r="K497" s="56"/>
      <c r="L497" s="256"/>
      <c r="M497" s="256"/>
      <c r="N497" s="256"/>
      <c r="O497" s="256"/>
      <c r="P497" s="256"/>
      <c r="Q497" s="256"/>
      <c r="R497" s="256"/>
      <c r="S497" s="208"/>
      <c r="T497" s="256"/>
      <c r="U497" s="256"/>
      <c r="V497" s="256"/>
      <c r="W497" s="256"/>
      <c r="X497" s="237"/>
      <c r="Y497" s="256"/>
      <c r="Z497" s="256"/>
      <c r="AA497" s="256"/>
      <c r="AB497" s="256"/>
      <c r="AC497" s="256"/>
      <c r="AD497" s="256"/>
      <c r="AE497" s="256"/>
      <c r="AF497" s="256"/>
      <c r="AG497" s="256"/>
      <c r="AH497" s="256"/>
      <c r="AI497" s="256"/>
      <c r="AJ497" s="256"/>
      <c r="AK497" s="237"/>
      <c r="AL497" s="56"/>
      <c r="AM497" s="56"/>
      <c r="AN497" s="56"/>
      <c r="AO497" s="56"/>
      <c r="AP497" s="56"/>
      <c r="AQ497" s="56"/>
      <c r="AR497" s="56"/>
      <c r="AS497" s="56"/>
      <c r="AT497" s="56"/>
      <c r="AU497" s="56"/>
      <c r="AV497" s="56"/>
      <c r="AW497" s="56"/>
      <c r="AX497" s="56"/>
      <c r="AY497" s="208"/>
      <c r="AZ497" s="211"/>
    </row>
    <row r="498" ht="18" customHeight="1" hidden="1">
      <c r="A498" s="207"/>
      <c r="B498" s="208"/>
      <c r="C498" s="56"/>
      <c r="D498" s="56"/>
      <c r="E498" s="56"/>
      <c r="F498" s="56"/>
      <c r="G498" s="56"/>
      <c r="H498" s="56"/>
      <c r="I498" s="56"/>
      <c r="J498" s="56"/>
      <c r="K498" s="56"/>
      <c r="L498" s="256"/>
      <c r="M498" s="256"/>
      <c r="N498" s="256"/>
      <c r="O498" s="256"/>
      <c r="P498" s="256"/>
      <c r="Q498" s="256"/>
      <c r="R498" s="256"/>
      <c r="S498" s="208"/>
      <c r="T498" s="256"/>
      <c r="U498" s="256"/>
      <c r="V498" s="256"/>
      <c r="W498" s="256"/>
      <c r="X498" s="237"/>
      <c r="Y498" s="256"/>
      <c r="Z498" s="256"/>
      <c r="AA498" s="256"/>
      <c r="AB498" s="256"/>
      <c r="AC498" s="256"/>
      <c r="AD498" s="256"/>
      <c r="AE498" s="256"/>
      <c r="AF498" s="256"/>
      <c r="AG498" s="256"/>
      <c r="AH498" s="256"/>
      <c r="AI498" s="256"/>
      <c r="AJ498" s="256"/>
      <c r="AK498" s="237"/>
      <c r="AL498" s="56"/>
      <c r="AM498" s="56"/>
      <c r="AN498" s="56"/>
      <c r="AO498" s="56"/>
      <c r="AP498" s="56"/>
      <c r="AQ498" s="56"/>
      <c r="AR498" s="56"/>
      <c r="AS498" s="56"/>
      <c r="AT498" s="56"/>
      <c r="AU498" s="56"/>
      <c r="AV498" s="56"/>
      <c r="AW498" s="56"/>
      <c r="AX498" s="56"/>
      <c r="AY498" s="208"/>
      <c r="AZ498" s="211"/>
    </row>
    <row r="499" ht="18" customHeight="1" hidden="1">
      <c r="A499" s="207"/>
      <c r="B499" s="208"/>
      <c r="C499" s="56"/>
      <c r="D499" s="56"/>
      <c r="E499" s="56"/>
      <c r="F499" s="56"/>
      <c r="G499" s="56"/>
      <c r="H499" s="56"/>
      <c r="I499" s="56"/>
      <c r="J499" s="56"/>
      <c r="K499" s="56"/>
      <c r="L499" s="256"/>
      <c r="M499" s="256"/>
      <c r="N499" s="256"/>
      <c r="O499" s="256"/>
      <c r="P499" s="256"/>
      <c r="Q499" s="256"/>
      <c r="R499" s="256"/>
      <c r="S499" s="208"/>
      <c r="T499" s="256"/>
      <c r="U499" s="256"/>
      <c r="V499" s="256"/>
      <c r="W499" s="256"/>
      <c r="X499" s="237"/>
      <c r="Y499" s="256"/>
      <c r="Z499" s="256"/>
      <c r="AA499" s="256"/>
      <c r="AB499" s="256"/>
      <c r="AC499" s="256"/>
      <c r="AD499" s="256"/>
      <c r="AE499" s="256"/>
      <c r="AF499" s="256"/>
      <c r="AG499" s="256"/>
      <c r="AH499" s="256"/>
      <c r="AI499" s="256"/>
      <c r="AJ499" s="256"/>
      <c r="AK499" s="237"/>
      <c r="AL499" s="56"/>
      <c r="AM499" s="56"/>
      <c r="AN499" s="56"/>
      <c r="AO499" s="56"/>
      <c r="AP499" s="56"/>
      <c r="AQ499" s="56"/>
      <c r="AR499" s="56"/>
      <c r="AS499" s="56"/>
      <c r="AT499" s="56"/>
      <c r="AU499" s="56"/>
      <c r="AV499" s="56"/>
      <c r="AW499" s="56"/>
      <c r="AX499" s="56"/>
      <c r="AY499" s="208"/>
      <c r="AZ499" s="211"/>
    </row>
    <row r="500" ht="18" customHeight="1" hidden="1">
      <c r="A500" s="207"/>
      <c r="B500" s="208"/>
      <c r="C500" s="56"/>
      <c r="D500" s="56"/>
      <c r="E500" s="56"/>
      <c r="F500" s="56"/>
      <c r="G500" s="56"/>
      <c r="H500" s="56"/>
      <c r="I500" s="56"/>
      <c r="J500" s="56"/>
      <c r="K500" s="56"/>
      <c r="L500" s="256"/>
      <c r="M500" s="256"/>
      <c r="N500" s="256"/>
      <c r="O500" s="256"/>
      <c r="P500" s="256"/>
      <c r="Q500" s="256"/>
      <c r="R500" s="256"/>
      <c r="S500" s="208"/>
      <c r="T500" s="256"/>
      <c r="U500" s="256"/>
      <c r="V500" s="256"/>
      <c r="W500" s="256"/>
      <c r="X500" s="237"/>
      <c r="Y500" s="256"/>
      <c r="Z500" s="256"/>
      <c r="AA500" s="256"/>
      <c r="AB500" s="256"/>
      <c r="AC500" s="256"/>
      <c r="AD500" s="256"/>
      <c r="AE500" s="256"/>
      <c r="AF500" s="256"/>
      <c r="AG500" s="256"/>
      <c r="AH500" s="256"/>
      <c r="AI500" s="256"/>
      <c r="AJ500" s="256"/>
      <c r="AK500" s="237"/>
      <c r="AL500" s="56"/>
      <c r="AM500" s="56"/>
      <c r="AN500" s="56"/>
      <c r="AO500" s="56"/>
      <c r="AP500" s="56"/>
      <c r="AQ500" s="56"/>
      <c r="AR500" s="56"/>
      <c r="AS500" s="56"/>
      <c r="AT500" s="56"/>
      <c r="AU500" s="56"/>
      <c r="AV500" s="56"/>
      <c r="AW500" s="56"/>
      <c r="AX500" s="56"/>
      <c r="AY500" s="208"/>
      <c r="AZ500" s="211"/>
    </row>
    <row r="501" ht="18" customHeight="1" hidden="1">
      <c r="A501" s="207"/>
      <c r="B501" s="208"/>
      <c r="C501" s="56"/>
      <c r="D501" s="56"/>
      <c r="E501" s="56"/>
      <c r="F501" s="56"/>
      <c r="G501" s="56"/>
      <c r="H501" s="56"/>
      <c r="I501" s="56"/>
      <c r="J501" s="56"/>
      <c r="K501" s="56"/>
      <c r="L501" s="256"/>
      <c r="M501" s="256"/>
      <c r="N501" s="256"/>
      <c r="O501" s="256"/>
      <c r="P501" s="256"/>
      <c r="Q501" s="256"/>
      <c r="R501" s="256"/>
      <c r="S501" s="208"/>
      <c r="T501" s="256"/>
      <c r="U501" s="256"/>
      <c r="V501" s="256"/>
      <c r="W501" s="256"/>
      <c r="X501" s="237"/>
      <c r="Y501" s="256"/>
      <c r="Z501" s="256"/>
      <c r="AA501" s="256"/>
      <c r="AB501" s="256"/>
      <c r="AC501" s="256"/>
      <c r="AD501" s="256"/>
      <c r="AE501" s="256"/>
      <c r="AF501" s="256"/>
      <c r="AG501" s="256"/>
      <c r="AH501" s="256"/>
      <c r="AI501" s="256"/>
      <c r="AJ501" s="256"/>
      <c r="AK501" s="237"/>
      <c r="AL501" s="56"/>
      <c r="AM501" s="56"/>
      <c r="AN501" s="56"/>
      <c r="AO501" s="56"/>
      <c r="AP501" s="56"/>
      <c r="AQ501" s="56"/>
      <c r="AR501" s="56"/>
      <c r="AS501" s="56"/>
      <c r="AT501" s="56"/>
      <c r="AU501" s="56"/>
      <c r="AV501" s="56"/>
      <c r="AW501" s="56"/>
      <c r="AX501" s="56"/>
      <c r="AY501" s="208"/>
      <c r="AZ501" s="211"/>
    </row>
    <row r="502" ht="18" customHeight="1" hidden="1">
      <c r="A502" s="207"/>
      <c r="B502" s="208"/>
      <c r="C502" s="56"/>
      <c r="D502" s="56"/>
      <c r="E502" s="56"/>
      <c r="F502" s="56"/>
      <c r="G502" s="56"/>
      <c r="H502" s="56"/>
      <c r="I502" s="56"/>
      <c r="J502" s="56"/>
      <c r="K502" s="56"/>
      <c r="L502" s="256"/>
      <c r="M502" s="256"/>
      <c r="N502" s="256"/>
      <c r="O502" s="256"/>
      <c r="P502" s="256"/>
      <c r="Q502" s="256"/>
      <c r="R502" s="256"/>
      <c r="S502" s="208"/>
      <c r="T502" s="256"/>
      <c r="U502" s="256"/>
      <c r="V502" s="256"/>
      <c r="W502" s="256"/>
      <c r="X502" s="237"/>
      <c r="Y502" s="256"/>
      <c r="Z502" s="256"/>
      <c r="AA502" s="256"/>
      <c r="AB502" s="256"/>
      <c r="AC502" s="256"/>
      <c r="AD502" s="256"/>
      <c r="AE502" s="256"/>
      <c r="AF502" s="256"/>
      <c r="AG502" s="256"/>
      <c r="AH502" s="256"/>
      <c r="AI502" s="256"/>
      <c r="AJ502" s="256"/>
      <c r="AK502" s="237"/>
      <c r="AL502" s="56"/>
      <c r="AM502" s="56"/>
      <c r="AN502" s="56"/>
      <c r="AO502" s="56"/>
      <c r="AP502" s="56"/>
      <c r="AQ502" s="56"/>
      <c r="AR502" s="56"/>
      <c r="AS502" s="56"/>
      <c r="AT502" s="56"/>
      <c r="AU502" s="56"/>
      <c r="AV502" s="56"/>
      <c r="AW502" s="56"/>
      <c r="AX502" s="56"/>
      <c r="AY502" s="208"/>
      <c r="AZ502" s="211"/>
    </row>
    <row r="503" ht="18" customHeight="1" hidden="1">
      <c r="A503" s="207"/>
      <c r="B503" s="208"/>
      <c r="C503" s="56"/>
      <c r="D503" s="56"/>
      <c r="E503" s="56"/>
      <c r="F503" s="56"/>
      <c r="G503" s="56"/>
      <c r="H503" s="56"/>
      <c r="I503" s="56"/>
      <c r="J503" s="56"/>
      <c r="K503" s="56"/>
      <c r="L503" s="256"/>
      <c r="M503" s="256"/>
      <c r="N503" s="256"/>
      <c r="O503" s="256"/>
      <c r="P503" s="256"/>
      <c r="Q503" s="256"/>
      <c r="R503" s="256"/>
      <c r="S503" s="208"/>
      <c r="T503" s="256"/>
      <c r="U503" s="256"/>
      <c r="V503" s="256"/>
      <c r="W503" s="256"/>
      <c r="X503" s="237"/>
      <c r="Y503" s="256"/>
      <c r="Z503" s="256"/>
      <c r="AA503" s="256"/>
      <c r="AB503" s="256"/>
      <c r="AC503" s="256"/>
      <c r="AD503" s="256"/>
      <c r="AE503" s="256"/>
      <c r="AF503" s="256"/>
      <c r="AG503" s="256"/>
      <c r="AH503" s="256"/>
      <c r="AI503" s="256"/>
      <c r="AJ503" s="256"/>
      <c r="AK503" s="237"/>
      <c r="AL503" s="56"/>
      <c r="AM503" s="56"/>
      <c r="AN503" s="56"/>
      <c r="AO503" s="56"/>
      <c r="AP503" s="56"/>
      <c r="AQ503" s="56"/>
      <c r="AR503" s="56"/>
      <c r="AS503" s="56"/>
      <c r="AT503" s="56"/>
      <c r="AU503" s="56"/>
      <c r="AV503" s="56"/>
      <c r="AW503" s="56"/>
      <c r="AX503" s="56"/>
      <c r="AY503" s="208"/>
      <c r="AZ503" s="211"/>
    </row>
    <row r="504" ht="18" customHeight="1" hidden="1">
      <c r="A504" s="207"/>
      <c r="B504" s="208"/>
      <c r="C504" s="56"/>
      <c r="D504" s="56"/>
      <c r="E504" s="56"/>
      <c r="F504" s="56"/>
      <c r="G504" s="56"/>
      <c r="H504" s="56"/>
      <c r="I504" s="56"/>
      <c r="J504" s="56"/>
      <c r="K504" s="56"/>
      <c r="L504" s="256"/>
      <c r="M504" s="256"/>
      <c r="N504" s="256"/>
      <c r="O504" s="256"/>
      <c r="P504" s="256"/>
      <c r="Q504" s="256"/>
      <c r="R504" s="256"/>
      <c r="S504" s="208"/>
      <c r="T504" s="256"/>
      <c r="U504" s="256"/>
      <c r="V504" s="256"/>
      <c r="W504" s="256"/>
      <c r="X504" s="237"/>
      <c r="Y504" s="256"/>
      <c r="Z504" s="256"/>
      <c r="AA504" s="256"/>
      <c r="AB504" s="256"/>
      <c r="AC504" s="256"/>
      <c r="AD504" s="256"/>
      <c r="AE504" s="256"/>
      <c r="AF504" s="256"/>
      <c r="AG504" s="256"/>
      <c r="AH504" s="256"/>
      <c r="AI504" s="256"/>
      <c r="AJ504" s="256"/>
      <c r="AK504" s="237"/>
      <c r="AL504" s="56"/>
      <c r="AM504" s="56"/>
      <c r="AN504" s="56"/>
      <c r="AO504" s="56"/>
      <c r="AP504" s="56"/>
      <c r="AQ504" s="56"/>
      <c r="AR504" s="56"/>
      <c r="AS504" s="56"/>
      <c r="AT504" s="56"/>
      <c r="AU504" s="56"/>
      <c r="AV504" s="56"/>
      <c r="AW504" s="56"/>
      <c r="AX504" s="56"/>
      <c r="AY504" s="208"/>
      <c r="AZ504" s="211"/>
    </row>
    <row r="505" ht="18" customHeight="1" hidden="1">
      <c r="A505" s="207"/>
      <c r="B505" s="208"/>
      <c r="C505" s="56"/>
      <c r="D505" s="56"/>
      <c r="E505" s="56"/>
      <c r="F505" s="56"/>
      <c r="G505" s="56"/>
      <c r="H505" s="56"/>
      <c r="I505" s="56"/>
      <c r="J505" s="56"/>
      <c r="K505" s="56"/>
      <c r="L505" s="256"/>
      <c r="M505" s="256"/>
      <c r="N505" s="256"/>
      <c r="O505" s="256"/>
      <c r="P505" s="256"/>
      <c r="Q505" s="256"/>
      <c r="R505" s="256"/>
      <c r="S505" s="208"/>
      <c r="T505" s="256"/>
      <c r="U505" s="256"/>
      <c r="V505" s="256"/>
      <c r="W505" s="256"/>
      <c r="X505" s="237"/>
      <c r="Y505" s="256"/>
      <c r="Z505" s="256"/>
      <c r="AA505" s="256"/>
      <c r="AB505" s="256"/>
      <c r="AC505" s="256"/>
      <c r="AD505" s="256"/>
      <c r="AE505" s="256"/>
      <c r="AF505" s="256"/>
      <c r="AG505" s="256"/>
      <c r="AH505" s="256"/>
      <c r="AI505" s="256"/>
      <c r="AJ505" s="256"/>
      <c r="AK505" s="237"/>
      <c r="AL505" s="56"/>
      <c r="AM505" s="56"/>
      <c r="AN505" s="56"/>
      <c r="AO505" s="56"/>
      <c r="AP505" s="56"/>
      <c r="AQ505" s="56"/>
      <c r="AR505" s="56"/>
      <c r="AS505" s="56"/>
      <c r="AT505" s="56"/>
      <c r="AU505" s="56"/>
      <c r="AV505" s="56"/>
      <c r="AW505" s="56"/>
      <c r="AX505" s="56"/>
      <c r="AY505" s="208"/>
      <c r="AZ505" s="211"/>
    </row>
    <row r="506" ht="18" customHeight="1" hidden="1">
      <c r="A506" s="207"/>
      <c r="B506" s="208"/>
      <c r="C506" s="56"/>
      <c r="D506" s="56"/>
      <c r="E506" s="56"/>
      <c r="F506" s="56"/>
      <c r="G506" s="56"/>
      <c r="H506" s="56"/>
      <c r="I506" s="56"/>
      <c r="J506" s="56"/>
      <c r="K506" s="56"/>
      <c r="L506" s="256"/>
      <c r="M506" s="256"/>
      <c r="N506" s="256"/>
      <c r="O506" s="256"/>
      <c r="P506" s="256"/>
      <c r="Q506" s="256"/>
      <c r="R506" s="256"/>
      <c r="S506" s="208"/>
      <c r="T506" s="256"/>
      <c r="U506" s="256"/>
      <c r="V506" s="256"/>
      <c r="W506" s="256"/>
      <c r="X506" s="237"/>
      <c r="Y506" s="256"/>
      <c r="Z506" s="256"/>
      <c r="AA506" s="256"/>
      <c r="AB506" s="256"/>
      <c r="AC506" s="256"/>
      <c r="AD506" s="256"/>
      <c r="AE506" s="256"/>
      <c r="AF506" s="256"/>
      <c r="AG506" s="256"/>
      <c r="AH506" s="256"/>
      <c r="AI506" s="256"/>
      <c r="AJ506" s="256"/>
      <c r="AK506" s="237"/>
      <c r="AL506" s="56"/>
      <c r="AM506" s="56"/>
      <c r="AN506" s="56"/>
      <c r="AO506" s="56"/>
      <c r="AP506" s="56"/>
      <c r="AQ506" s="56"/>
      <c r="AR506" s="56"/>
      <c r="AS506" s="56"/>
      <c r="AT506" s="56"/>
      <c r="AU506" s="56"/>
      <c r="AV506" s="56"/>
      <c r="AW506" s="56"/>
      <c r="AX506" s="56"/>
      <c r="AY506" s="208"/>
      <c r="AZ506" s="211"/>
    </row>
    <row r="507" ht="18" customHeight="1" hidden="1">
      <c r="A507" s="207"/>
      <c r="B507" s="208"/>
      <c r="C507" s="56"/>
      <c r="D507" s="56"/>
      <c r="E507" s="56"/>
      <c r="F507" s="56"/>
      <c r="G507" s="56"/>
      <c r="H507" s="56"/>
      <c r="I507" s="56"/>
      <c r="J507" s="56"/>
      <c r="K507" s="56"/>
      <c r="L507" s="256"/>
      <c r="M507" s="256"/>
      <c r="N507" s="256"/>
      <c r="O507" s="256"/>
      <c r="P507" s="256"/>
      <c r="Q507" s="256"/>
      <c r="R507" s="256"/>
      <c r="S507" s="208"/>
      <c r="T507" s="256"/>
      <c r="U507" s="256"/>
      <c r="V507" s="256"/>
      <c r="W507" s="256"/>
      <c r="X507" s="237"/>
      <c r="Y507" s="256"/>
      <c r="Z507" s="256"/>
      <c r="AA507" s="256"/>
      <c r="AB507" s="256"/>
      <c r="AC507" s="256"/>
      <c r="AD507" s="256"/>
      <c r="AE507" s="256"/>
      <c r="AF507" s="256"/>
      <c r="AG507" s="256"/>
      <c r="AH507" s="256"/>
      <c r="AI507" s="256"/>
      <c r="AJ507" s="256"/>
      <c r="AK507" s="237"/>
      <c r="AL507" s="56"/>
      <c r="AM507" s="56"/>
      <c r="AN507" s="56"/>
      <c r="AO507" s="56"/>
      <c r="AP507" s="56"/>
      <c r="AQ507" s="56"/>
      <c r="AR507" s="56"/>
      <c r="AS507" s="56"/>
      <c r="AT507" s="56"/>
      <c r="AU507" s="56"/>
      <c r="AV507" s="56"/>
      <c r="AW507" s="56"/>
      <c r="AX507" s="56"/>
      <c r="AY507" s="208"/>
      <c r="AZ507" s="211"/>
    </row>
    <row r="508" ht="18" customHeight="1" hidden="1">
      <c r="A508" s="207"/>
      <c r="B508" s="208"/>
      <c r="C508" s="56"/>
      <c r="D508" s="56"/>
      <c r="E508" s="56"/>
      <c r="F508" s="56"/>
      <c r="G508" s="56"/>
      <c r="H508" s="56"/>
      <c r="I508" s="56"/>
      <c r="J508" s="56"/>
      <c r="K508" s="56"/>
      <c r="L508" s="256"/>
      <c r="M508" s="256"/>
      <c r="N508" s="256"/>
      <c r="O508" s="256"/>
      <c r="P508" s="256"/>
      <c r="Q508" s="256"/>
      <c r="R508" s="256"/>
      <c r="S508" s="208"/>
      <c r="T508" s="256"/>
      <c r="U508" s="256"/>
      <c r="V508" s="256"/>
      <c r="W508" s="256"/>
      <c r="X508" s="237"/>
      <c r="Y508" s="256"/>
      <c r="Z508" s="256"/>
      <c r="AA508" s="256"/>
      <c r="AB508" s="256"/>
      <c r="AC508" s="256"/>
      <c r="AD508" s="256"/>
      <c r="AE508" s="256"/>
      <c r="AF508" s="256"/>
      <c r="AG508" s="256"/>
      <c r="AH508" s="256"/>
      <c r="AI508" s="256"/>
      <c r="AJ508" s="256"/>
      <c r="AK508" s="237"/>
      <c r="AL508" s="56"/>
      <c r="AM508" s="56"/>
      <c r="AN508" s="56"/>
      <c r="AO508" s="56"/>
      <c r="AP508" s="56"/>
      <c r="AQ508" s="56"/>
      <c r="AR508" s="56"/>
      <c r="AS508" s="56"/>
      <c r="AT508" s="56"/>
      <c r="AU508" s="56"/>
      <c r="AV508" s="56"/>
      <c r="AW508" s="56"/>
      <c r="AX508" s="56"/>
      <c r="AY508" s="208"/>
      <c r="AZ508" s="211"/>
    </row>
    <row r="509" ht="18" customHeight="1" hidden="1">
      <c r="A509" s="207"/>
      <c r="B509" s="208"/>
      <c r="C509" s="56"/>
      <c r="D509" s="56"/>
      <c r="E509" s="56"/>
      <c r="F509" s="56"/>
      <c r="G509" s="56"/>
      <c r="H509" s="56"/>
      <c r="I509" s="56"/>
      <c r="J509" s="56"/>
      <c r="K509" s="56"/>
      <c r="L509" s="256"/>
      <c r="M509" s="256"/>
      <c r="N509" s="256"/>
      <c r="O509" s="256"/>
      <c r="P509" s="256"/>
      <c r="Q509" s="256"/>
      <c r="R509" s="256"/>
      <c r="S509" s="208"/>
      <c r="T509" s="256"/>
      <c r="U509" s="256"/>
      <c r="V509" s="256"/>
      <c r="W509" s="256"/>
      <c r="X509" s="237"/>
      <c r="Y509" s="256"/>
      <c r="Z509" s="256"/>
      <c r="AA509" s="256"/>
      <c r="AB509" s="256"/>
      <c r="AC509" s="256"/>
      <c r="AD509" s="256"/>
      <c r="AE509" s="256"/>
      <c r="AF509" s="256"/>
      <c r="AG509" s="256"/>
      <c r="AH509" s="256"/>
      <c r="AI509" s="256"/>
      <c r="AJ509" s="256"/>
      <c r="AK509" s="237"/>
      <c r="AL509" s="56"/>
      <c r="AM509" s="56"/>
      <c r="AN509" s="56"/>
      <c r="AO509" s="56"/>
      <c r="AP509" s="56"/>
      <c r="AQ509" s="56"/>
      <c r="AR509" s="56"/>
      <c r="AS509" s="56"/>
      <c r="AT509" s="56"/>
      <c r="AU509" s="56"/>
      <c r="AV509" s="56"/>
      <c r="AW509" s="56"/>
      <c r="AX509" s="56"/>
      <c r="AY509" s="208"/>
      <c r="AZ509" s="211"/>
    </row>
    <row r="510" ht="18" customHeight="1" hidden="1">
      <c r="A510" s="207"/>
      <c r="B510" s="208"/>
      <c r="C510" s="56"/>
      <c r="D510" s="56"/>
      <c r="E510" s="56"/>
      <c r="F510" s="56"/>
      <c r="G510" s="56"/>
      <c r="H510" s="56"/>
      <c r="I510" s="56"/>
      <c r="J510" s="56"/>
      <c r="K510" s="56"/>
      <c r="L510" s="256"/>
      <c r="M510" s="256"/>
      <c r="N510" s="256"/>
      <c r="O510" s="256"/>
      <c r="P510" s="256"/>
      <c r="Q510" s="256"/>
      <c r="R510" s="256"/>
      <c r="S510" s="208"/>
      <c r="T510" s="256"/>
      <c r="U510" s="256"/>
      <c r="V510" s="256"/>
      <c r="W510" s="256"/>
      <c r="X510" s="237"/>
      <c r="Y510" s="256"/>
      <c r="Z510" s="256"/>
      <c r="AA510" s="256"/>
      <c r="AB510" s="256"/>
      <c r="AC510" s="256"/>
      <c r="AD510" s="256"/>
      <c r="AE510" s="256"/>
      <c r="AF510" s="256"/>
      <c r="AG510" s="256"/>
      <c r="AH510" s="256"/>
      <c r="AI510" s="256"/>
      <c r="AJ510" s="256"/>
      <c r="AK510" s="237"/>
      <c r="AL510" s="56"/>
      <c r="AM510" s="56"/>
      <c r="AN510" s="56"/>
      <c r="AO510" s="56"/>
      <c r="AP510" s="56"/>
      <c r="AQ510" s="56"/>
      <c r="AR510" s="56"/>
      <c r="AS510" s="56"/>
      <c r="AT510" s="56"/>
      <c r="AU510" s="56"/>
      <c r="AV510" s="56"/>
      <c r="AW510" s="56"/>
      <c r="AX510" s="56"/>
      <c r="AY510" s="208"/>
      <c r="AZ510" s="211"/>
    </row>
    <row r="511" ht="18" customHeight="1" hidden="1">
      <c r="A511" s="207"/>
      <c r="B511" s="208"/>
      <c r="C511" s="56"/>
      <c r="D511" s="56"/>
      <c r="E511" s="56"/>
      <c r="F511" s="56"/>
      <c r="G511" s="56"/>
      <c r="H511" s="56"/>
      <c r="I511" s="56"/>
      <c r="J511" s="56"/>
      <c r="K511" s="56"/>
      <c r="L511" s="256"/>
      <c r="M511" s="256"/>
      <c r="N511" s="256"/>
      <c r="O511" s="256"/>
      <c r="P511" s="256"/>
      <c r="Q511" s="256"/>
      <c r="R511" s="256"/>
      <c r="S511" s="208"/>
      <c r="T511" s="256"/>
      <c r="U511" s="256"/>
      <c r="V511" s="256"/>
      <c r="W511" s="256"/>
      <c r="X511" s="237"/>
      <c r="Y511" s="256"/>
      <c r="Z511" s="256"/>
      <c r="AA511" s="256"/>
      <c r="AB511" s="256"/>
      <c r="AC511" s="256"/>
      <c r="AD511" s="256"/>
      <c r="AE511" s="256"/>
      <c r="AF511" s="256"/>
      <c r="AG511" s="256"/>
      <c r="AH511" s="256"/>
      <c r="AI511" s="256"/>
      <c r="AJ511" s="256"/>
      <c r="AK511" s="237"/>
      <c r="AL511" s="56"/>
      <c r="AM511" s="56"/>
      <c r="AN511" s="56"/>
      <c r="AO511" s="56"/>
      <c r="AP511" s="56"/>
      <c r="AQ511" s="56"/>
      <c r="AR511" s="56"/>
      <c r="AS511" s="56"/>
      <c r="AT511" s="56"/>
      <c r="AU511" s="56"/>
      <c r="AV511" s="56"/>
      <c r="AW511" s="56"/>
      <c r="AX511" s="56"/>
      <c r="AY511" s="208"/>
      <c r="AZ511" s="211"/>
    </row>
    <row r="512" ht="18" customHeight="1" hidden="1">
      <c r="A512" s="207"/>
      <c r="B512" s="208"/>
      <c r="C512" s="56"/>
      <c r="D512" s="56"/>
      <c r="E512" s="56"/>
      <c r="F512" s="56"/>
      <c r="G512" s="56"/>
      <c r="H512" s="56"/>
      <c r="I512" s="56"/>
      <c r="J512" s="56"/>
      <c r="K512" s="56"/>
      <c r="L512" s="256"/>
      <c r="M512" s="256"/>
      <c r="N512" s="256"/>
      <c r="O512" s="256"/>
      <c r="P512" s="256"/>
      <c r="Q512" s="256"/>
      <c r="R512" s="256"/>
      <c r="S512" s="208"/>
      <c r="T512" s="256"/>
      <c r="U512" s="256"/>
      <c r="V512" s="256"/>
      <c r="W512" s="256"/>
      <c r="X512" s="237"/>
      <c r="Y512" s="256"/>
      <c r="Z512" s="256"/>
      <c r="AA512" s="256"/>
      <c r="AB512" s="256"/>
      <c r="AC512" s="256"/>
      <c r="AD512" s="256"/>
      <c r="AE512" s="256"/>
      <c r="AF512" s="256"/>
      <c r="AG512" s="256"/>
      <c r="AH512" s="256"/>
      <c r="AI512" s="256"/>
      <c r="AJ512" s="256"/>
      <c r="AK512" s="237"/>
      <c r="AL512" s="56"/>
      <c r="AM512" s="56"/>
      <c r="AN512" s="56"/>
      <c r="AO512" s="56"/>
      <c r="AP512" s="56"/>
      <c r="AQ512" s="56"/>
      <c r="AR512" s="56"/>
      <c r="AS512" s="56"/>
      <c r="AT512" s="56"/>
      <c r="AU512" s="56"/>
      <c r="AV512" s="56"/>
      <c r="AW512" s="56"/>
      <c r="AX512" s="56"/>
      <c r="AY512" s="208"/>
      <c r="AZ512" s="211"/>
    </row>
    <row r="513" ht="18" customHeight="1" hidden="1">
      <c r="A513" s="207"/>
      <c r="B513" s="208"/>
      <c r="C513" s="56"/>
      <c r="D513" s="56"/>
      <c r="E513" s="56"/>
      <c r="F513" s="56"/>
      <c r="G513" s="56"/>
      <c r="H513" s="56"/>
      <c r="I513" s="56"/>
      <c r="J513" s="56"/>
      <c r="K513" s="56"/>
      <c r="L513" s="256"/>
      <c r="M513" s="256"/>
      <c r="N513" s="256"/>
      <c r="O513" s="256"/>
      <c r="P513" s="256"/>
      <c r="Q513" s="256"/>
      <c r="R513" s="256"/>
      <c r="S513" s="208"/>
      <c r="T513" s="256"/>
      <c r="U513" s="256"/>
      <c r="V513" s="256"/>
      <c r="W513" s="256"/>
      <c r="X513" s="237"/>
      <c r="Y513" s="256"/>
      <c r="Z513" s="256"/>
      <c r="AA513" s="256"/>
      <c r="AB513" s="256"/>
      <c r="AC513" s="256"/>
      <c r="AD513" s="256"/>
      <c r="AE513" s="256"/>
      <c r="AF513" s="256"/>
      <c r="AG513" s="256"/>
      <c r="AH513" s="256"/>
      <c r="AI513" s="256"/>
      <c r="AJ513" s="256"/>
      <c r="AK513" s="237"/>
      <c r="AL513" s="56"/>
      <c r="AM513" s="56"/>
      <c r="AN513" s="56"/>
      <c r="AO513" s="56"/>
      <c r="AP513" s="56"/>
      <c r="AQ513" s="56"/>
      <c r="AR513" s="56"/>
      <c r="AS513" s="56"/>
      <c r="AT513" s="56"/>
      <c r="AU513" s="56"/>
      <c r="AV513" s="56"/>
      <c r="AW513" s="56"/>
      <c r="AX513" s="56"/>
      <c r="AY513" s="208"/>
      <c r="AZ513" s="211"/>
    </row>
    <row r="514" ht="18" customHeight="1" hidden="1">
      <c r="A514" s="207"/>
      <c r="B514" s="208"/>
      <c r="C514" s="56"/>
      <c r="D514" s="56"/>
      <c r="E514" s="56"/>
      <c r="F514" s="56"/>
      <c r="G514" s="56"/>
      <c r="H514" s="56"/>
      <c r="I514" s="56"/>
      <c r="J514" s="56"/>
      <c r="K514" s="56"/>
      <c r="L514" s="256"/>
      <c r="M514" s="256"/>
      <c r="N514" s="256"/>
      <c r="O514" s="256"/>
      <c r="P514" s="256"/>
      <c r="Q514" s="256"/>
      <c r="R514" s="256"/>
      <c r="S514" s="208"/>
      <c r="T514" s="256"/>
      <c r="U514" s="256"/>
      <c r="V514" s="256"/>
      <c r="W514" s="256"/>
      <c r="X514" s="237"/>
      <c r="Y514" s="256"/>
      <c r="Z514" s="256"/>
      <c r="AA514" s="256"/>
      <c r="AB514" s="256"/>
      <c r="AC514" s="256"/>
      <c r="AD514" s="256"/>
      <c r="AE514" s="256"/>
      <c r="AF514" s="256"/>
      <c r="AG514" s="256"/>
      <c r="AH514" s="256"/>
      <c r="AI514" s="256"/>
      <c r="AJ514" s="256"/>
      <c r="AK514" s="237"/>
      <c r="AL514" s="56"/>
      <c r="AM514" s="56"/>
      <c r="AN514" s="56"/>
      <c r="AO514" s="56"/>
      <c r="AP514" s="56"/>
      <c r="AQ514" s="56"/>
      <c r="AR514" s="56"/>
      <c r="AS514" s="56"/>
      <c r="AT514" s="56"/>
      <c r="AU514" s="56"/>
      <c r="AV514" s="56"/>
      <c r="AW514" s="56"/>
      <c r="AX514" s="56"/>
      <c r="AY514" s="208"/>
      <c r="AZ514" s="211"/>
    </row>
    <row r="515" ht="18" customHeight="1" hidden="1">
      <c r="A515" s="207"/>
      <c r="B515" s="208"/>
      <c r="C515" s="56"/>
      <c r="D515" s="56"/>
      <c r="E515" s="56"/>
      <c r="F515" s="56"/>
      <c r="G515" s="56"/>
      <c r="H515" s="56"/>
      <c r="I515" s="56"/>
      <c r="J515" s="56"/>
      <c r="K515" s="56"/>
      <c r="L515" s="256"/>
      <c r="M515" s="256"/>
      <c r="N515" s="256"/>
      <c r="O515" s="256"/>
      <c r="P515" s="256"/>
      <c r="Q515" s="256"/>
      <c r="R515" s="256"/>
      <c r="S515" s="208"/>
      <c r="T515" s="256"/>
      <c r="U515" s="256"/>
      <c r="V515" s="256"/>
      <c r="W515" s="256"/>
      <c r="X515" s="237"/>
      <c r="Y515" s="256"/>
      <c r="Z515" s="256"/>
      <c r="AA515" s="256"/>
      <c r="AB515" s="256"/>
      <c r="AC515" s="256"/>
      <c r="AD515" s="256"/>
      <c r="AE515" s="256"/>
      <c r="AF515" s="256"/>
      <c r="AG515" s="256"/>
      <c r="AH515" s="256"/>
      <c r="AI515" s="256"/>
      <c r="AJ515" s="256"/>
      <c r="AK515" s="237"/>
      <c r="AL515" s="56"/>
      <c r="AM515" s="56"/>
      <c r="AN515" s="56"/>
      <c r="AO515" s="56"/>
      <c r="AP515" s="56"/>
      <c r="AQ515" s="56"/>
      <c r="AR515" s="56"/>
      <c r="AS515" s="56"/>
      <c r="AT515" s="56"/>
      <c r="AU515" s="56"/>
      <c r="AV515" s="56"/>
      <c r="AW515" s="56"/>
      <c r="AX515" s="56"/>
      <c r="AY515" s="208"/>
      <c r="AZ515" s="211"/>
    </row>
    <row r="516" ht="18" customHeight="1" hidden="1">
      <c r="A516" s="207"/>
      <c r="B516" s="208"/>
      <c r="C516" s="56"/>
      <c r="D516" s="56"/>
      <c r="E516" s="56"/>
      <c r="F516" s="56"/>
      <c r="G516" s="56"/>
      <c r="H516" s="56"/>
      <c r="I516" s="56"/>
      <c r="J516" s="56"/>
      <c r="K516" s="56"/>
      <c r="L516" s="256"/>
      <c r="M516" s="256"/>
      <c r="N516" s="256"/>
      <c r="O516" s="256"/>
      <c r="P516" s="256"/>
      <c r="Q516" s="256"/>
      <c r="R516" s="256"/>
      <c r="S516" s="208"/>
      <c r="T516" s="256"/>
      <c r="U516" s="256"/>
      <c r="V516" s="256"/>
      <c r="W516" s="256"/>
      <c r="X516" s="237"/>
      <c r="Y516" s="256"/>
      <c r="Z516" s="256"/>
      <c r="AA516" s="256"/>
      <c r="AB516" s="256"/>
      <c r="AC516" s="256"/>
      <c r="AD516" s="256"/>
      <c r="AE516" s="256"/>
      <c r="AF516" s="256"/>
      <c r="AG516" s="256"/>
      <c r="AH516" s="256"/>
      <c r="AI516" s="256"/>
      <c r="AJ516" s="256"/>
      <c r="AK516" s="237"/>
      <c r="AL516" s="56"/>
      <c r="AM516" s="56"/>
      <c r="AN516" s="56"/>
      <c r="AO516" s="56"/>
      <c r="AP516" s="56"/>
      <c r="AQ516" s="56"/>
      <c r="AR516" s="56"/>
      <c r="AS516" s="56"/>
      <c r="AT516" s="56"/>
      <c r="AU516" s="56"/>
      <c r="AV516" s="56"/>
      <c r="AW516" s="56"/>
      <c r="AX516" s="56"/>
      <c r="AY516" s="208"/>
      <c r="AZ516" s="211"/>
    </row>
    <row r="517" ht="18" customHeight="1" hidden="1">
      <c r="A517" s="207"/>
      <c r="B517" s="208"/>
      <c r="C517" s="56"/>
      <c r="D517" s="56"/>
      <c r="E517" s="56"/>
      <c r="F517" s="56"/>
      <c r="G517" s="56"/>
      <c r="H517" s="56"/>
      <c r="I517" s="56"/>
      <c r="J517" s="56"/>
      <c r="K517" s="56"/>
      <c r="L517" s="256"/>
      <c r="M517" s="256"/>
      <c r="N517" s="256"/>
      <c r="O517" s="256"/>
      <c r="P517" s="256"/>
      <c r="Q517" s="256"/>
      <c r="R517" s="256"/>
      <c r="S517" s="208"/>
      <c r="T517" s="256"/>
      <c r="U517" s="256"/>
      <c r="V517" s="256"/>
      <c r="W517" s="256"/>
      <c r="X517" s="237"/>
      <c r="Y517" s="256"/>
      <c r="Z517" s="256"/>
      <c r="AA517" s="256"/>
      <c r="AB517" s="256"/>
      <c r="AC517" s="256"/>
      <c r="AD517" s="256"/>
      <c r="AE517" s="256"/>
      <c r="AF517" s="256"/>
      <c r="AG517" s="256"/>
      <c r="AH517" s="256"/>
      <c r="AI517" s="256"/>
      <c r="AJ517" s="256"/>
      <c r="AK517" s="237"/>
      <c r="AL517" s="56"/>
      <c r="AM517" s="56"/>
      <c r="AN517" s="56"/>
      <c r="AO517" s="56"/>
      <c r="AP517" s="56"/>
      <c r="AQ517" s="56"/>
      <c r="AR517" s="56"/>
      <c r="AS517" s="56"/>
      <c r="AT517" s="56"/>
      <c r="AU517" s="56"/>
      <c r="AV517" s="56"/>
      <c r="AW517" s="56"/>
      <c r="AX517" s="56"/>
      <c r="AY517" s="208"/>
      <c r="AZ517" s="211"/>
    </row>
    <row r="518" ht="18" customHeight="1" hidden="1">
      <c r="A518" s="207"/>
      <c r="B518" s="208"/>
      <c r="C518" s="56"/>
      <c r="D518" s="56"/>
      <c r="E518" s="56"/>
      <c r="F518" s="56"/>
      <c r="G518" s="56"/>
      <c r="H518" s="56"/>
      <c r="I518" s="56"/>
      <c r="J518" s="56"/>
      <c r="K518" s="56"/>
      <c r="L518" s="256"/>
      <c r="M518" s="256"/>
      <c r="N518" s="256"/>
      <c r="O518" s="256"/>
      <c r="P518" s="256"/>
      <c r="Q518" s="256"/>
      <c r="R518" s="256"/>
      <c r="S518" s="208"/>
      <c r="T518" s="256"/>
      <c r="U518" s="256"/>
      <c r="V518" s="256"/>
      <c r="W518" s="256"/>
      <c r="X518" s="237"/>
      <c r="Y518" s="256"/>
      <c r="Z518" s="256"/>
      <c r="AA518" s="256"/>
      <c r="AB518" s="256"/>
      <c r="AC518" s="256"/>
      <c r="AD518" s="256"/>
      <c r="AE518" s="256"/>
      <c r="AF518" s="256"/>
      <c r="AG518" s="256"/>
      <c r="AH518" s="256"/>
      <c r="AI518" s="256"/>
      <c r="AJ518" s="256"/>
      <c r="AK518" s="237"/>
      <c r="AL518" s="56"/>
      <c r="AM518" s="56"/>
      <c r="AN518" s="56"/>
      <c r="AO518" s="56"/>
      <c r="AP518" s="56"/>
      <c r="AQ518" s="56"/>
      <c r="AR518" s="56"/>
      <c r="AS518" s="56"/>
      <c r="AT518" s="56"/>
      <c r="AU518" s="56"/>
      <c r="AV518" s="56"/>
      <c r="AW518" s="56"/>
      <c r="AX518" s="56"/>
      <c r="AY518" s="208"/>
      <c r="AZ518" s="211"/>
    </row>
    <row r="519" ht="18" customHeight="1" hidden="1">
      <c r="A519" s="207"/>
      <c r="B519" s="208"/>
      <c r="C519" s="56"/>
      <c r="D519" s="56"/>
      <c r="E519" s="56"/>
      <c r="F519" s="56"/>
      <c r="G519" s="56"/>
      <c r="H519" s="56"/>
      <c r="I519" s="56"/>
      <c r="J519" s="56"/>
      <c r="K519" s="56"/>
      <c r="L519" s="256"/>
      <c r="M519" s="256"/>
      <c r="N519" s="256"/>
      <c r="O519" s="256"/>
      <c r="P519" s="256"/>
      <c r="Q519" s="256"/>
      <c r="R519" s="256"/>
      <c r="S519" s="208"/>
      <c r="T519" s="256"/>
      <c r="U519" s="256"/>
      <c r="V519" s="256"/>
      <c r="W519" s="256"/>
      <c r="X519" s="237"/>
      <c r="Y519" s="256"/>
      <c r="Z519" s="256"/>
      <c r="AA519" s="256"/>
      <c r="AB519" s="256"/>
      <c r="AC519" s="256"/>
      <c r="AD519" s="256"/>
      <c r="AE519" s="256"/>
      <c r="AF519" s="256"/>
      <c r="AG519" s="256"/>
      <c r="AH519" s="256"/>
      <c r="AI519" s="256"/>
      <c r="AJ519" s="256"/>
      <c r="AK519" s="237"/>
      <c r="AL519" s="56"/>
      <c r="AM519" s="56"/>
      <c r="AN519" s="56"/>
      <c r="AO519" s="56"/>
      <c r="AP519" s="56"/>
      <c r="AQ519" s="56"/>
      <c r="AR519" s="56"/>
      <c r="AS519" s="56"/>
      <c r="AT519" s="56"/>
      <c r="AU519" s="56"/>
      <c r="AV519" s="56"/>
      <c r="AW519" s="56"/>
      <c r="AX519" s="56"/>
      <c r="AY519" s="208"/>
      <c r="AZ519" s="211"/>
    </row>
    <row r="520" ht="18" customHeight="1" hidden="1">
      <c r="A520" s="207"/>
      <c r="B520" s="208"/>
      <c r="C520" s="56"/>
      <c r="D520" s="56"/>
      <c r="E520" s="56"/>
      <c r="F520" s="56"/>
      <c r="G520" s="56"/>
      <c r="H520" s="56"/>
      <c r="I520" s="56"/>
      <c r="J520" s="56"/>
      <c r="K520" s="56"/>
      <c r="L520" s="256"/>
      <c r="M520" s="256"/>
      <c r="N520" s="256"/>
      <c r="O520" s="256"/>
      <c r="P520" s="256"/>
      <c r="Q520" s="256"/>
      <c r="R520" s="256"/>
      <c r="S520" s="208"/>
      <c r="T520" s="256"/>
      <c r="U520" s="256"/>
      <c r="V520" s="256"/>
      <c r="W520" s="256"/>
      <c r="X520" s="237"/>
      <c r="Y520" s="256"/>
      <c r="Z520" s="256"/>
      <c r="AA520" s="256"/>
      <c r="AB520" s="256"/>
      <c r="AC520" s="256"/>
      <c r="AD520" s="256"/>
      <c r="AE520" s="256"/>
      <c r="AF520" s="256"/>
      <c r="AG520" s="256"/>
      <c r="AH520" s="256"/>
      <c r="AI520" s="256"/>
      <c r="AJ520" s="256"/>
      <c r="AK520" s="237"/>
      <c r="AL520" s="56"/>
      <c r="AM520" s="56"/>
      <c r="AN520" s="56"/>
      <c r="AO520" s="56"/>
      <c r="AP520" s="56"/>
      <c r="AQ520" s="56"/>
      <c r="AR520" s="56"/>
      <c r="AS520" s="56"/>
      <c r="AT520" s="56"/>
      <c r="AU520" s="56"/>
      <c r="AV520" s="56"/>
      <c r="AW520" s="56"/>
      <c r="AX520" s="56"/>
      <c r="AY520" s="208"/>
      <c r="AZ520" s="211"/>
    </row>
    <row r="521" ht="18" customHeight="1" hidden="1">
      <c r="A521" s="207"/>
      <c r="B521" s="208"/>
      <c r="C521" s="56"/>
      <c r="D521" s="56"/>
      <c r="E521" s="56"/>
      <c r="F521" s="56"/>
      <c r="G521" s="56"/>
      <c r="H521" s="56"/>
      <c r="I521" s="56"/>
      <c r="J521" s="56"/>
      <c r="K521" s="56"/>
      <c r="L521" s="256"/>
      <c r="M521" s="256"/>
      <c r="N521" s="256"/>
      <c r="O521" s="256"/>
      <c r="P521" s="256"/>
      <c r="Q521" s="256"/>
      <c r="R521" s="256"/>
      <c r="S521" s="208"/>
      <c r="T521" s="256"/>
      <c r="U521" s="256"/>
      <c r="V521" s="256"/>
      <c r="W521" s="256"/>
      <c r="X521" s="237"/>
      <c r="Y521" s="256"/>
      <c r="Z521" s="256"/>
      <c r="AA521" s="256"/>
      <c r="AB521" s="256"/>
      <c r="AC521" s="256"/>
      <c r="AD521" s="256"/>
      <c r="AE521" s="256"/>
      <c r="AF521" s="256"/>
      <c r="AG521" s="256"/>
      <c r="AH521" s="256"/>
      <c r="AI521" s="256"/>
      <c r="AJ521" s="256"/>
      <c r="AK521" s="237"/>
      <c r="AL521" s="56"/>
      <c r="AM521" s="56"/>
      <c r="AN521" s="56"/>
      <c r="AO521" s="56"/>
      <c r="AP521" s="56"/>
      <c r="AQ521" s="56"/>
      <c r="AR521" s="56"/>
      <c r="AS521" s="56"/>
      <c r="AT521" s="56"/>
      <c r="AU521" s="56"/>
      <c r="AV521" s="56"/>
      <c r="AW521" s="56"/>
      <c r="AX521" s="56"/>
      <c r="AY521" s="208"/>
      <c r="AZ521" s="211"/>
    </row>
    <row r="522" ht="18" customHeight="1" hidden="1">
      <c r="A522" s="207"/>
      <c r="B522" s="208"/>
      <c r="C522" s="56"/>
      <c r="D522" s="56"/>
      <c r="E522" s="56"/>
      <c r="F522" s="56"/>
      <c r="G522" s="56"/>
      <c r="H522" s="56"/>
      <c r="I522" s="56"/>
      <c r="J522" s="56"/>
      <c r="K522" s="56"/>
      <c r="L522" s="256"/>
      <c r="M522" s="256"/>
      <c r="N522" s="256"/>
      <c r="O522" s="256"/>
      <c r="P522" s="256"/>
      <c r="Q522" s="256"/>
      <c r="R522" s="256"/>
      <c r="S522" s="208"/>
      <c r="T522" s="256"/>
      <c r="U522" s="256"/>
      <c r="V522" s="256"/>
      <c r="W522" s="256"/>
      <c r="X522" s="237"/>
      <c r="Y522" s="256"/>
      <c r="Z522" s="256"/>
      <c r="AA522" s="256"/>
      <c r="AB522" s="256"/>
      <c r="AC522" s="256"/>
      <c r="AD522" s="256"/>
      <c r="AE522" s="256"/>
      <c r="AF522" s="256"/>
      <c r="AG522" s="256"/>
      <c r="AH522" s="256"/>
      <c r="AI522" s="256"/>
      <c r="AJ522" s="256"/>
      <c r="AK522" s="237"/>
      <c r="AL522" s="56"/>
      <c r="AM522" s="56"/>
      <c r="AN522" s="56"/>
      <c r="AO522" s="56"/>
      <c r="AP522" s="56"/>
      <c r="AQ522" s="56"/>
      <c r="AR522" s="56"/>
      <c r="AS522" s="56"/>
      <c r="AT522" s="56"/>
      <c r="AU522" s="56"/>
      <c r="AV522" s="56"/>
      <c r="AW522" s="56"/>
      <c r="AX522" s="56"/>
      <c r="AY522" s="208"/>
      <c r="AZ522" s="211"/>
    </row>
    <row r="523" ht="18" customHeight="1" hidden="1">
      <c r="A523" s="207"/>
      <c r="B523" s="208"/>
      <c r="C523" s="56"/>
      <c r="D523" s="56"/>
      <c r="E523" s="56"/>
      <c r="F523" s="56"/>
      <c r="G523" s="56"/>
      <c r="H523" s="56"/>
      <c r="I523" s="56"/>
      <c r="J523" s="56"/>
      <c r="K523" s="56"/>
      <c r="L523" s="256"/>
      <c r="M523" s="256"/>
      <c r="N523" s="256"/>
      <c r="O523" s="256"/>
      <c r="P523" s="256"/>
      <c r="Q523" s="256"/>
      <c r="R523" s="256"/>
      <c r="S523" s="208"/>
      <c r="T523" s="256"/>
      <c r="U523" s="256"/>
      <c r="V523" s="256"/>
      <c r="W523" s="256"/>
      <c r="X523" s="237"/>
      <c r="Y523" s="256"/>
      <c r="Z523" s="256"/>
      <c r="AA523" s="256"/>
      <c r="AB523" s="256"/>
      <c r="AC523" s="256"/>
      <c r="AD523" s="256"/>
      <c r="AE523" s="256"/>
      <c r="AF523" s="256"/>
      <c r="AG523" s="256"/>
      <c r="AH523" s="256"/>
      <c r="AI523" s="256"/>
      <c r="AJ523" s="256"/>
      <c r="AK523" s="237"/>
      <c r="AL523" s="56"/>
      <c r="AM523" s="56"/>
      <c r="AN523" s="56"/>
      <c r="AO523" s="56"/>
      <c r="AP523" s="56"/>
      <c r="AQ523" s="56"/>
      <c r="AR523" s="56"/>
      <c r="AS523" s="56"/>
      <c r="AT523" s="56"/>
      <c r="AU523" s="56"/>
      <c r="AV523" s="56"/>
      <c r="AW523" s="56"/>
      <c r="AX523" s="56"/>
      <c r="AY523" s="208"/>
      <c r="AZ523" s="211"/>
    </row>
    <row r="524" ht="18" customHeight="1" hidden="1">
      <c r="A524" s="207"/>
      <c r="B524" s="208"/>
      <c r="C524" s="56"/>
      <c r="D524" s="56"/>
      <c r="E524" s="56"/>
      <c r="F524" s="56"/>
      <c r="G524" s="56"/>
      <c r="H524" s="56"/>
      <c r="I524" s="56"/>
      <c r="J524" s="56"/>
      <c r="K524" s="56"/>
      <c r="L524" s="256"/>
      <c r="M524" s="256"/>
      <c r="N524" s="256"/>
      <c r="O524" s="256"/>
      <c r="P524" s="256"/>
      <c r="Q524" s="256"/>
      <c r="R524" s="256"/>
      <c r="S524" s="208"/>
      <c r="T524" s="256"/>
      <c r="U524" s="256"/>
      <c r="V524" s="256"/>
      <c r="W524" s="256"/>
      <c r="X524" s="237"/>
      <c r="Y524" s="256"/>
      <c r="Z524" s="256"/>
      <c r="AA524" s="256"/>
      <c r="AB524" s="256"/>
      <c r="AC524" s="256"/>
      <c r="AD524" s="256"/>
      <c r="AE524" s="256"/>
      <c r="AF524" s="256"/>
      <c r="AG524" s="256"/>
      <c r="AH524" s="256"/>
      <c r="AI524" s="256"/>
      <c r="AJ524" s="256"/>
      <c r="AK524" s="237"/>
      <c r="AL524" s="56"/>
      <c r="AM524" s="56"/>
      <c r="AN524" s="56"/>
      <c r="AO524" s="56"/>
      <c r="AP524" s="56"/>
      <c r="AQ524" s="56"/>
      <c r="AR524" s="56"/>
      <c r="AS524" s="56"/>
      <c r="AT524" s="56"/>
      <c r="AU524" s="56"/>
      <c r="AV524" s="56"/>
      <c r="AW524" s="56"/>
      <c r="AX524" s="56"/>
      <c r="AY524" s="208"/>
      <c r="AZ524" s="211"/>
    </row>
    <row r="525" ht="18" customHeight="1" hidden="1">
      <c r="A525" s="207"/>
      <c r="B525" s="208"/>
      <c r="C525" s="56"/>
      <c r="D525" s="56"/>
      <c r="E525" s="56"/>
      <c r="F525" s="56"/>
      <c r="G525" s="56"/>
      <c r="H525" s="56"/>
      <c r="I525" s="56"/>
      <c r="J525" s="56"/>
      <c r="K525" s="56"/>
      <c r="L525" s="256"/>
      <c r="M525" s="256"/>
      <c r="N525" s="256"/>
      <c r="O525" s="256"/>
      <c r="P525" s="256"/>
      <c r="Q525" s="256"/>
      <c r="R525" s="256"/>
      <c r="S525" s="208"/>
      <c r="T525" s="256"/>
      <c r="U525" s="256"/>
      <c r="V525" s="256"/>
      <c r="W525" s="256"/>
      <c r="X525" s="237"/>
      <c r="Y525" s="256"/>
      <c r="Z525" s="256"/>
      <c r="AA525" s="256"/>
      <c r="AB525" s="256"/>
      <c r="AC525" s="256"/>
      <c r="AD525" s="256"/>
      <c r="AE525" s="256"/>
      <c r="AF525" s="256"/>
      <c r="AG525" s="256"/>
      <c r="AH525" s="256"/>
      <c r="AI525" s="256"/>
      <c r="AJ525" s="256"/>
      <c r="AK525" s="237"/>
      <c r="AL525" s="56"/>
      <c r="AM525" s="56"/>
      <c r="AN525" s="56"/>
      <c r="AO525" s="56"/>
      <c r="AP525" s="56"/>
      <c r="AQ525" s="56"/>
      <c r="AR525" s="56"/>
      <c r="AS525" s="56"/>
      <c r="AT525" s="56"/>
      <c r="AU525" s="56"/>
      <c r="AV525" s="56"/>
      <c r="AW525" s="56"/>
      <c r="AX525" s="56"/>
      <c r="AY525" s="208"/>
      <c r="AZ525" s="211"/>
    </row>
    <row r="526" ht="18" customHeight="1" hidden="1">
      <c r="A526" s="207"/>
      <c r="B526" s="208"/>
      <c r="C526" s="56"/>
      <c r="D526" s="56"/>
      <c r="E526" s="56"/>
      <c r="F526" s="56"/>
      <c r="G526" s="56"/>
      <c r="H526" s="56"/>
      <c r="I526" s="56"/>
      <c r="J526" s="56"/>
      <c r="K526" s="56"/>
      <c r="L526" s="256"/>
      <c r="M526" s="256"/>
      <c r="N526" s="256"/>
      <c r="O526" s="256"/>
      <c r="P526" s="256"/>
      <c r="Q526" s="256"/>
      <c r="R526" s="256"/>
      <c r="S526" s="208"/>
      <c r="T526" s="256"/>
      <c r="U526" s="256"/>
      <c r="V526" s="256"/>
      <c r="W526" s="256"/>
      <c r="X526" s="237"/>
      <c r="Y526" s="256"/>
      <c r="Z526" s="256"/>
      <c r="AA526" s="256"/>
      <c r="AB526" s="256"/>
      <c r="AC526" s="256"/>
      <c r="AD526" s="256"/>
      <c r="AE526" s="256"/>
      <c r="AF526" s="256"/>
      <c r="AG526" s="256"/>
      <c r="AH526" s="256"/>
      <c r="AI526" s="256"/>
      <c r="AJ526" s="256"/>
      <c r="AK526" s="237"/>
      <c r="AL526" s="56"/>
      <c r="AM526" s="56"/>
      <c r="AN526" s="56"/>
      <c r="AO526" s="56"/>
      <c r="AP526" s="56"/>
      <c r="AQ526" s="56"/>
      <c r="AR526" s="56"/>
      <c r="AS526" s="56"/>
      <c r="AT526" s="56"/>
      <c r="AU526" s="56"/>
      <c r="AV526" s="56"/>
      <c r="AW526" s="56"/>
      <c r="AX526" s="56"/>
      <c r="AY526" s="208"/>
      <c r="AZ526" s="211"/>
    </row>
    <row r="527" ht="18" customHeight="1" hidden="1">
      <c r="A527" s="207"/>
      <c r="B527" s="208"/>
      <c r="C527" s="56"/>
      <c r="D527" s="56"/>
      <c r="E527" s="56"/>
      <c r="F527" s="56"/>
      <c r="G527" s="56"/>
      <c r="H527" s="56"/>
      <c r="I527" s="56"/>
      <c r="J527" s="56"/>
      <c r="K527" s="56"/>
      <c r="L527" s="256"/>
      <c r="M527" s="256"/>
      <c r="N527" s="256"/>
      <c r="O527" s="256"/>
      <c r="P527" s="256"/>
      <c r="Q527" s="256"/>
      <c r="R527" s="256"/>
      <c r="S527" s="208"/>
      <c r="T527" s="256"/>
      <c r="U527" s="256"/>
      <c r="V527" s="256"/>
      <c r="W527" s="256"/>
      <c r="X527" s="237"/>
      <c r="Y527" s="256"/>
      <c r="Z527" s="256"/>
      <c r="AA527" s="256"/>
      <c r="AB527" s="256"/>
      <c r="AC527" s="256"/>
      <c r="AD527" s="256"/>
      <c r="AE527" s="256"/>
      <c r="AF527" s="256"/>
      <c r="AG527" s="256"/>
      <c r="AH527" s="256"/>
      <c r="AI527" s="256"/>
      <c r="AJ527" s="256"/>
      <c r="AK527" s="237"/>
      <c r="AL527" s="56"/>
      <c r="AM527" s="56"/>
      <c r="AN527" s="56"/>
      <c r="AO527" s="56"/>
      <c r="AP527" s="56"/>
      <c r="AQ527" s="56"/>
      <c r="AR527" s="56"/>
      <c r="AS527" s="56"/>
      <c r="AT527" s="56"/>
      <c r="AU527" s="56"/>
      <c r="AV527" s="56"/>
      <c r="AW527" s="56"/>
      <c r="AX527" s="56"/>
      <c r="AY527" s="208"/>
      <c r="AZ527" s="211"/>
    </row>
    <row r="528" ht="18" customHeight="1" hidden="1">
      <c r="A528" s="207"/>
      <c r="B528" s="208"/>
      <c r="C528" s="56"/>
      <c r="D528" s="56"/>
      <c r="E528" s="56"/>
      <c r="F528" s="56"/>
      <c r="G528" s="56"/>
      <c r="H528" s="56"/>
      <c r="I528" s="56"/>
      <c r="J528" s="56"/>
      <c r="K528" s="56"/>
      <c r="L528" s="256"/>
      <c r="M528" s="256"/>
      <c r="N528" s="256"/>
      <c r="O528" s="256"/>
      <c r="P528" s="256"/>
      <c r="Q528" s="256"/>
      <c r="R528" s="256"/>
      <c r="S528" s="208"/>
      <c r="T528" s="256"/>
      <c r="U528" s="256"/>
      <c r="V528" s="256"/>
      <c r="W528" s="256"/>
      <c r="X528" s="237"/>
      <c r="Y528" s="256"/>
      <c r="Z528" s="256"/>
      <c r="AA528" s="256"/>
      <c r="AB528" s="256"/>
      <c r="AC528" s="256"/>
      <c r="AD528" s="256"/>
      <c r="AE528" s="256"/>
      <c r="AF528" s="256"/>
      <c r="AG528" s="256"/>
      <c r="AH528" s="256"/>
      <c r="AI528" s="256"/>
      <c r="AJ528" s="256"/>
      <c r="AK528" s="237"/>
      <c r="AL528" s="56"/>
      <c r="AM528" s="56"/>
      <c r="AN528" s="56"/>
      <c r="AO528" s="56"/>
      <c r="AP528" s="56"/>
      <c r="AQ528" s="56"/>
      <c r="AR528" s="56"/>
      <c r="AS528" s="56"/>
      <c r="AT528" s="56"/>
      <c r="AU528" s="56"/>
      <c r="AV528" s="56"/>
      <c r="AW528" s="56"/>
      <c r="AX528" s="56"/>
      <c r="AY528" s="208"/>
      <c r="AZ528" s="211"/>
    </row>
    <row r="529" ht="18" customHeight="1" hidden="1">
      <c r="A529" s="207"/>
      <c r="B529" s="208"/>
      <c r="C529" s="56"/>
      <c r="D529" s="56"/>
      <c r="E529" s="56"/>
      <c r="F529" s="56"/>
      <c r="G529" s="56"/>
      <c r="H529" s="56"/>
      <c r="I529" s="56"/>
      <c r="J529" s="56"/>
      <c r="K529" s="56"/>
      <c r="L529" s="256"/>
      <c r="M529" s="256"/>
      <c r="N529" s="256"/>
      <c r="O529" s="256"/>
      <c r="P529" s="256"/>
      <c r="Q529" s="256"/>
      <c r="R529" s="256"/>
      <c r="S529" s="208"/>
      <c r="T529" s="256"/>
      <c r="U529" s="256"/>
      <c r="V529" s="256"/>
      <c r="W529" s="256"/>
      <c r="X529" s="237"/>
      <c r="Y529" s="256"/>
      <c r="Z529" s="256"/>
      <c r="AA529" s="256"/>
      <c r="AB529" s="256"/>
      <c r="AC529" s="256"/>
      <c r="AD529" s="256"/>
      <c r="AE529" s="256"/>
      <c r="AF529" s="256"/>
      <c r="AG529" s="256"/>
      <c r="AH529" s="256"/>
      <c r="AI529" s="256"/>
      <c r="AJ529" s="256"/>
      <c r="AK529" s="237"/>
      <c r="AL529" s="56"/>
      <c r="AM529" s="56"/>
      <c r="AN529" s="56"/>
      <c r="AO529" s="56"/>
      <c r="AP529" s="56"/>
      <c r="AQ529" s="56"/>
      <c r="AR529" s="56"/>
      <c r="AS529" s="56"/>
      <c r="AT529" s="56"/>
      <c r="AU529" s="56"/>
      <c r="AV529" s="56"/>
      <c r="AW529" s="56"/>
      <c r="AX529" s="56"/>
      <c r="AY529" s="208"/>
      <c r="AZ529" s="211"/>
    </row>
    <row r="530" ht="18" customHeight="1" hidden="1">
      <c r="A530" s="207"/>
      <c r="B530" s="208"/>
      <c r="C530" s="56"/>
      <c r="D530" s="56"/>
      <c r="E530" s="56"/>
      <c r="F530" s="56"/>
      <c r="G530" s="56"/>
      <c r="H530" s="56"/>
      <c r="I530" s="56"/>
      <c r="J530" s="56"/>
      <c r="K530" s="56"/>
      <c r="L530" s="256"/>
      <c r="M530" s="256"/>
      <c r="N530" s="256"/>
      <c r="O530" s="256"/>
      <c r="P530" s="256"/>
      <c r="Q530" s="256"/>
      <c r="R530" s="256"/>
      <c r="S530" s="208"/>
      <c r="T530" s="256"/>
      <c r="U530" s="256"/>
      <c r="V530" s="256"/>
      <c r="W530" s="256"/>
      <c r="X530" s="237"/>
      <c r="Y530" s="256"/>
      <c r="Z530" s="256"/>
      <c r="AA530" s="256"/>
      <c r="AB530" s="256"/>
      <c r="AC530" s="256"/>
      <c r="AD530" s="256"/>
      <c r="AE530" s="256"/>
      <c r="AF530" s="256"/>
      <c r="AG530" s="256"/>
      <c r="AH530" s="256"/>
      <c r="AI530" s="256"/>
      <c r="AJ530" s="256"/>
      <c r="AK530" s="237"/>
      <c r="AL530" s="56"/>
      <c r="AM530" s="56"/>
      <c r="AN530" s="56"/>
      <c r="AO530" s="56"/>
      <c r="AP530" s="56"/>
      <c r="AQ530" s="56"/>
      <c r="AR530" s="56"/>
      <c r="AS530" s="56"/>
      <c r="AT530" s="56"/>
      <c r="AU530" s="56"/>
      <c r="AV530" s="56"/>
      <c r="AW530" s="56"/>
      <c r="AX530" s="56"/>
      <c r="AY530" s="208"/>
      <c r="AZ530" s="211"/>
    </row>
    <row r="531" ht="18" customHeight="1" hidden="1">
      <c r="A531" s="207"/>
      <c r="B531" s="208"/>
      <c r="C531" s="56"/>
      <c r="D531" s="56"/>
      <c r="E531" s="56"/>
      <c r="F531" s="56"/>
      <c r="G531" s="56"/>
      <c r="H531" s="56"/>
      <c r="I531" s="56"/>
      <c r="J531" s="56"/>
      <c r="K531" s="56"/>
      <c r="L531" s="256"/>
      <c r="M531" s="256"/>
      <c r="N531" s="256"/>
      <c r="O531" s="256"/>
      <c r="P531" s="256"/>
      <c r="Q531" s="256"/>
      <c r="R531" s="256"/>
      <c r="S531" s="208"/>
      <c r="T531" s="256"/>
      <c r="U531" s="256"/>
      <c r="V531" s="256"/>
      <c r="W531" s="256"/>
      <c r="X531" s="237"/>
      <c r="Y531" s="256"/>
      <c r="Z531" s="256"/>
      <c r="AA531" s="256"/>
      <c r="AB531" s="256"/>
      <c r="AC531" s="256"/>
      <c r="AD531" s="256"/>
      <c r="AE531" s="256"/>
      <c r="AF531" s="256"/>
      <c r="AG531" s="256"/>
      <c r="AH531" s="256"/>
      <c r="AI531" s="256"/>
      <c r="AJ531" s="256"/>
      <c r="AK531" s="237"/>
      <c r="AL531" s="56"/>
      <c r="AM531" s="56"/>
      <c r="AN531" s="56"/>
      <c r="AO531" s="56"/>
      <c r="AP531" s="56"/>
      <c r="AQ531" s="56"/>
      <c r="AR531" s="56"/>
      <c r="AS531" s="56"/>
      <c r="AT531" s="56"/>
      <c r="AU531" s="56"/>
      <c r="AV531" s="56"/>
      <c r="AW531" s="56"/>
      <c r="AX531" s="56"/>
      <c r="AY531" s="208"/>
      <c r="AZ531" s="211"/>
    </row>
    <row r="532" ht="18" customHeight="1" hidden="1">
      <c r="A532" s="207"/>
      <c r="B532" s="208"/>
      <c r="C532" s="56"/>
      <c r="D532" s="56"/>
      <c r="E532" s="56"/>
      <c r="F532" s="56"/>
      <c r="G532" s="56"/>
      <c r="H532" s="56"/>
      <c r="I532" s="56"/>
      <c r="J532" s="56"/>
      <c r="K532" s="56"/>
      <c r="L532" s="256"/>
      <c r="M532" s="256"/>
      <c r="N532" s="256"/>
      <c r="O532" s="256"/>
      <c r="P532" s="256"/>
      <c r="Q532" s="256"/>
      <c r="R532" s="256"/>
      <c r="S532" s="208"/>
      <c r="T532" s="256"/>
      <c r="U532" s="256"/>
      <c r="V532" s="256"/>
      <c r="W532" s="256"/>
      <c r="X532" s="237"/>
      <c r="Y532" s="256"/>
      <c r="Z532" s="256"/>
      <c r="AA532" s="256"/>
      <c r="AB532" s="256"/>
      <c r="AC532" s="256"/>
      <c r="AD532" s="256"/>
      <c r="AE532" s="256"/>
      <c r="AF532" s="256"/>
      <c r="AG532" s="256"/>
      <c r="AH532" s="256"/>
      <c r="AI532" s="256"/>
      <c r="AJ532" s="256"/>
      <c r="AK532" s="237"/>
      <c r="AL532" s="56"/>
      <c r="AM532" s="56"/>
      <c r="AN532" s="56"/>
      <c r="AO532" s="56"/>
      <c r="AP532" s="56"/>
      <c r="AQ532" s="56"/>
      <c r="AR532" s="56"/>
      <c r="AS532" s="56"/>
      <c r="AT532" s="56"/>
      <c r="AU532" s="56"/>
      <c r="AV532" s="56"/>
      <c r="AW532" s="56"/>
      <c r="AX532" s="56"/>
      <c r="AY532" s="208"/>
      <c r="AZ532" s="211"/>
    </row>
    <row r="533" ht="18" customHeight="1" hidden="1">
      <c r="A533" s="207"/>
      <c r="B533" s="208"/>
      <c r="C533" s="56"/>
      <c r="D533" s="56"/>
      <c r="E533" s="56"/>
      <c r="F533" s="56"/>
      <c r="G533" s="56"/>
      <c r="H533" s="56"/>
      <c r="I533" s="56"/>
      <c r="J533" s="56"/>
      <c r="K533" s="56"/>
      <c r="L533" s="256"/>
      <c r="M533" s="256"/>
      <c r="N533" s="256"/>
      <c r="O533" s="256"/>
      <c r="P533" s="256"/>
      <c r="Q533" s="256"/>
      <c r="R533" s="256"/>
      <c r="S533" s="208"/>
      <c r="T533" s="256"/>
      <c r="U533" s="256"/>
      <c r="V533" s="256"/>
      <c r="W533" s="256"/>
      <c r="X533" s="237"/>
      <c r="Y533" s="256"/>
      <c r="Z533" s="256"/>
      <c r="AA533" s="256"/>
      <c r="AB533" s="256"/>
      <c r="AC533" s="256"/>
      <c r="AD533" s="256"/>
      <c r="AE533" s="256"/>
      <c r="AF533" s="256"/>
      <c r="AG533" s="256"/>
      <c r="AH533" s="256"/>
      <c r="AI533" s="256"/>
      <c r="AJ533" s="256"/>
      <c r="AK533" s="237"/>
      <c r="AL533" s="56"/>
      <c r="AM533" s="56"/>
      <c r="AN533" s="56"/>
      <c r="AO533" s="56"/>
      <c r="AP533" s="56"/>
      <c r="AQ533" s="56"/>
      <c r="AR533" s="56"/>
      <c r="AS533" s="56"/>
      <c r="AT533" s="56"/>
      <c r="AU533" s="56"/>
      <c r="AV533" s="56"/>
      <c r="AW533" s="56"/>
      <c r="AX533" s="56"/>
      <c r="AY533" s="208"/>
      <c r="AZ533" s="211"/>
    </row>
    <row r="534" ht="18" customHeight="1" hidden="1">
      <c r="A534" s="207"/>
      <c r="B534" s="208"/>
      <c r="C534" s="56"/>
      <c r="D534" s="56"/>
      <c r="E534" s="56"/>
      <c r="F534" s="56"/>
      <c r="G534" s="56"/>
      <c r="H534" s="56"/>
      <c r="I534" s="56"/>
      <c r="J534" s="56"/>
      <c r="K534" s="56"/>
      <c r="L534" s="256"/>
      <c r="M534" s="256"/>
      <c r="N534" s="256"/>
      <c r="O534" s="256"/>
      <c r="P534" s="256"/>
      <c r="Q534" s="256"/>
      <c r="R534" s="256"/>
      <c r="S534" s="208"/>
      <c r="T534" s="256"/>
      <c r="U534" s="256"/>
      <c r="V534" s="256"/>
      <c r="W534" s="256"/>
      <c r="X534" s="237"/>
      <c r="Y534" s="256"/>
      <c r="Z534" s="256"/>
      <c r="AA534" s="256"/>
      <c r="AB534" s="256"/>
      <c r="AC534" s="256"/>
      <c r="AD534" s="256"/>
      <c r="AE534" s="256"/>
      <c r="AF534" s="256"/>
      <c r="AG534" s="256"/>
      <c r="AH534" s="256"/>
      <c r="AI534" s="256"/>
      <c r="AJ534" s="256"/>
      <c r="AK534" s="237"/>
      <c r="AL534" s="56"/>
      <c r="AM534" s="56"/>
      <c r="AN534" s="56"/>
      <c r="AO534" s="56"/>
      <c r="AP534" s="56"/>
      <c r="AQ534" s="56"/>
      <c r="AR534" s="56"/>
      <c r="AS534" s="56"/>
      <c r="AT534" s="56"/>
      <c r="AU534" s="56"/>
      <c r="AV534" s="56"/>
      <c r="AW534" s="56"/>
      <c r="AX534" s="56"/>
      <c r="AY534" s="208"/>
      <c r="AZ534" s="211"/>
    </row>
    <row r="535" ht="18" customHeight="1" hidden="1">
      <c r="A535" s="207"/>
      <c r="B535" s="208"/>
      <c r="C535" s="56"/>
      <c r="D535" s="56"/>
      <c r="E535" s="56"/>
      <c r="F535" s="56"/>
      <c r="G535" s="56"/>
      <c r="H535" s="56"/>
      <c r="I535" s="56"/>
      <c r="J535" s="56"/>
      <c r="K535" s="56"/>
      <c r="L535" s="256"/>
      <c r="M535" s="256"/>
      <c r="N535" s="256"/>
      <c r="O535" s="256"/>
      <c r="P535" s="256"/>
      <c r="Q535" s="256"/>
      <c r="R535" s="256"/>
      <c r="S535" s="208"/>
      <c r="T535" s="256"/>
      <c r="U535" s="256"/>
      <c r="V535" s="256"/>
      <c r="W535" s="256"/>
      <c r="X535" s="237"/>
      <c r="Y535" s="256"/>
      <c r="Z535" s="256"/>
      <c r="AA535" s="256"/>
      <c r="AB535" s="256"/>
      <c r="AC535" s="256"/>
      <c r="AD535" s="256"/>
      <c r="AE535" s="256"/>
      <c r="AF535" s="256"/>
      <c r="AG535" s="256"/>
      <c r="AH535" s="256"/>
      <c r="AI535" s="256"/>
      <c r="AJ535" s="256"/>
      <c r="AK535" s="237"/>
      <c r="AL535" s="56"/>
      <c r="AM535" s="56"/>
      <c r="AN535" s="56"/>
      <c r="AO535" s="56"/>
      <c r="AP535" s="56"/>
      <c r="AQ535" s="56"/>
      <c r="AR535" s="56"/>
      <c r="AS535" s="56"/>
      <c r="AT535" s="56"/>
      <c r="AU535" s="56"/>
      <c r="AV535" s="56"/>
      <c r="AW535" s="56"/>
      <c r="AX535" s="56"/>
      <c r="AY535" s="208"/>
      <c r="AZ535" s="211"/>
    </row>
    <row r="536" ht="18" customHeight="1" hidden="1">
      <c r="A536" s="207"/>
      <c r="B536" s="208"/>
      <c r="C536" s="56"/>
      <c r="D536" s="56"/>
      <c r="E536" s="56"/>
      <c r="F536" s="56"/>
      <c r="G536" s="56"/>
      <c r="H536" s="56"/>
      <c r="I536" s="56"/>
      <c r="J536" s="56"/>
      <c r="K536" s="56"/>
      <c r="L536" s="256"/>
      <c r="M536" s="256"/>
      <c r="N536" s="256"/>
      <c r="O536" s="256"/>
      <c r="P536" s="256"/>
      <c r="Q536" s="256"/>
      <c r="R536" s="256"/>
      <c r="S536" s="208"/>
      <c r="T536" s="256"/>
      <c r="U536" s="256"/>
      <c r="V536" s="256"/>
      <c r="W536" s="256"/>
      <c r="X536" s="237"/>
      <c r="Y536" s="256"/>
      <c r="Z536" s="256"/>
      <c r="AA536" s="256"/>
      <c r="AB536" s="256"/>
      <c r="AC536" s="256"/>
      <c r="AD536" s="256"/>
      <c r="AE536" s="256"/>
      <c r="AF536" s="256"/>
      <c r="AG536" s="256"/>
      <c r="AH536" s="256"/>
      <c r="AI536" s="256"/>
      <c r="AJ536" s="256"/>
      <c r="AK536" s="237"/>
      <c r="AL536" s="56"/>
      <c r="AM536" s="56"/>
      <c r="AN536" s="56"/>
      <c r="AO536" s="56"/>
      <c r="AP536" s="56"/>
      <c r="AQ536" s="56"/>
      <c r="AR536" s="56"/>
      <c r="AS536" s="56"/>
      <c r="AT536" s="56"/>
      <c r="AU536" s="56"/>
      <c r="AV536" s="56"/>
      <c r="AW536" s="56"/>
      <c r="AX536" s="56"/>
      <c r="AY536" s="208"/>
      <c r="AZ536" s="211"/>
    </row>
    <row r="537" ht="18" customHeight="1" hidden="1">
      <c r="A537" s="207"/>
      <c r="B537" s="208"/>
      <c r="C537" s="56"/>
      <c r="D537" s="56"/>
      <c r="E537" s="56"/>
      <c r="F537" s="56"/>
      <c r="G537" s="56"/>
      <c r="H537" s="56"/>
      <c r="I537" s="56"/>
      <c r="J537" s="56"/>
      <c r="K537" s="56"/>
      <c r="L537" s="256"/>
      <c r="M537" s="256"/>
      <c r="N537" s="256"/>
      <c r="O537" s="256"/>
      <c r="P537" s="256"/>
      <c r="Q537" s="256"/>
      <c r="R537" s="256"/>
      <c r="S537" s="208"/>
      <c r="T537" s="256"/>
      <c r="U537" s="256"/>
      <c r="V537" s="256"/>
      <c r="W537" s="256"/>
      <c r="X537" s="237"/>
      <c r="Y537" s="256"/>
      <c r="Z537" s="256"/>
      <c r="AA537" s="256"/>
      <c r="AB537" s="256"/>
      <c r="AC537" s="256"/>
      <c r="AD537" s="256"/>
      <c r="AE537" s="256"/>
      <c r="AF537" s="256"/>
      <c r="AG537" s="256"/>
      <c r="AH537" s="256"/>
      <c r="AI537" s="256"/>
      <c r="AJ537" s="256"/>
      <c r="AK537" s="237"/>
      <c r="AL537" s="56"/>
      <c r="AM537" s="56"/>
      <c r="AN537" s="56"/>
      <c r="AO537" s="56"/>
      <c r="AP537" s="56"/>
      <c r="AQ537" s="56"/>
      <c r="AR537" s="56"/>
      <c r="AS537" s="56"/>
      <c r="AT537" s="56"/>
      <c r="AU537" s="56"/>
      <c r="AV537" s="56"/>
      <c r="AW537" s="56"/>
      <c r="AX537" s="56"/>
      <c r="AY537" s="208"/>
      <c r="AZ537" s="211"/>
    </row>
    <row r="538" ht="18" customHeight="1" hidden="1">
      <c r="A538" s="207"/>
      <c r="B538" s="208"/>
      <c r="C538" s="56"/>
      <c r="D538" s="56"/>
      <c r="E538" s="56"/>
      <c r="F538" s="56"/>
      <c r="G538" s="56"/>
      <c r="H538" s="56"/>
      <c r="I538" s="56"/>
      <c r="J538" s="56"/>
      <c r="K538" s="56"/>
      <c r="L538" s="256"/>
      <c r="M538" s="256"/>
      <c r="N538" s="256"/>
      <c r="O538" s="256"/>
      <c r="P538" s="256"/>
      <c r="Q538" s="256"/>
      <c r="R538" s="256"/>
      <c r="S538" s="208"/>
      <c r="T538" s="256"/>
      <c r="U538" s="256"/>
      <c r="V538" s="256"/>
      <c r="W538" s="256"/>
      <c r="X538" s="237"/>
      <c r="Y538" s="256"/>
      <c r="Z538" s="256"/>
      <c r="AA538" s="256"/>
      <c r="AB538" s="256"/>
      <c r="AC538" s="256"/>
      <c r="AD538" s="256"/>
      <c r="AE538" s="256"/>
      <c r="AF538" s="256"/>
      <c r="AG538" s="256"/>
      <c r="AH538" s="256"/>
      <c r="AI538" s="256"/>
      <c r="AJ538" s="256"/>
      <c r="AK538" s="237"/>
      <c r="AL538" s="56"/>
      <c r="AM538" s="56"/>
      <c r="AN538" s="56"/>
      <c r="AO538" s="56"/>
      <c r="AP538" s="56"/>
      <c r="AQ538" s="56"/>
      <c r="AR538" s="56"/>
      <c r="AS538" s="56"/>
      <c r="AT538" s="56"/>
      <c r="AU538" s="56"/>
      <c r="AV538" s="56"/>
      <c r="AW538" s="56"/>
      <c r="AX538" s="56"/>
      <c r="AY538" s="208"/>
      <c r="AZ538" s="211"/>
    </row>
    <row r="539" ht="18" customHeight="1" hidden="1">
      <c r="A539" s="207"/>
      <c r="B539" s="208"/>
      <c r="C539" s="56"/>
      <c r="D539" s="56"/>
      <c r="E539" s="56"/>
      <c r="F539" s="56"/>
      <c r="G539" s="56"/>
      <c r="H539" s="56"/>
      <c r="I539" s="56"/>
      <c r="J539" s="56"/>
      <c r="K539" s="56"/>
      <c r="L539" s="256"/>
      <c r="M539" s="256"/>
      <c r="N539" s="256"/>
      <c r="O539" s="256"/>
      <c r="P539" s="256"/>
      <c r="Q539" s="256"/>
      <c r="R539" s="256"/>
      <c r="S539" s="208"/>
      <c r="T539" s="256"/>
      <c r="U539" s="256"/>
      <c r="V539" s="256"/>
      <c r="W539" s="256"/>
      <c r="X539" s="237"/>
      <c r="Y539" s="256"/>
      <c r="Z539" s="256"/>
      <c r="AA539" s="256"/>
      <c r="AB539" s="256"/>
      <c r="AC539" s="256"/>
      <c r="AD539" s="256"/>
      <c r="AE539" s="256"/>
      <c r="AF539" s="256"/>
      <c r="AG539" s="256"/>
      <c r="AH539" s="256"/>
      <c r="AI539" s="256"/>
      <c r="AJ539" s="256"/>
      <c r="AK539" s="237"/>
      <c r="AL539" s="56"/>
      <c r="AM539" s="56"/>
      <c r="AN539" s="56"/>
      <c r="AO539" s="56"/>
      <c r="AP539" s="56"/>
      <c r="AQ539" s="56"/>
      <c r="AR539" s="56"/>
      <c r="AS539" s="56"/>
      <c r="AT539" s="56"/>
      <c r="AU539" s="56"/>
      <c r="AV539" s="56"/>
      <c r="AW539" s="56"/>
      <c r="AX539" s="56"/>
      <c r="AY539" s="208"/>
      <c r="AZ539" s="211"/>
    </row>
    <row r="540" ht="18" customHeight="1" hidden="1">
      <c r="A540" s="207"/>
      <c r="B540" s="208"/>
      <c r="C540" s="56"/>
      <c r="D540" s="56"/>
      <c r="E540" s="56"/>
      <c r="F540" s="56"/>
      <c r="G540" s="56"/>
      <c r="H540" s="56"/>
      <c r="I540" s="56"/>
      <c r="J540" s="56"/>
      <c r="K540" s="56"/>
      <c r="L540" s="256"/>
      <c r="M540" s="256"/>
      <c r="N540" s="256"/>
      <c r="O540" s="256"/>
      <c r="P540" s="256"/>
      <c r="Q540" s="256"/>
      <c r="R540" s="256"/>
      <c r="S540" s="208"/>
      <c r="T540" s="256"/>
      <c r="U540" s="256"/>
      <c r="V540" s="256"/>
      <c r="W540" s="256"/>
      <c r="X540" s="237"/>
      <c r="Y540" s="256"/>
      <c r="Z540" s="256"/>
      <c r="AA540" s="256"/>
      <c r="AB540" s="256"/>
      <c r="AC540" s="256"/>
      <c r="AD540" s="256"/>
      <c r="AE540" s="256"/>
      <c r="AF540" s="256"/>
      <c r="AG540" s="256"/>
      <c r="AH540" s="256"/>
      <c r="AI540" s="256"/>
      <c r="AJ540" s="256"/>
      <c r="AK540" s="237"/>
      <c r="AL540" s="56"/>
      <c r="AM540" s="56"/>
      <c r="AN540" s="56"/>
      <c r="AO540" s="56"/>
      <c r="AP540" s="56"/>
      <c r="AQ540" s="56"/>
      <c r="AR540" s="56"/>
      <c r="AS540" s="56"/>
      <c r="AT540" s="56"/>
      <c r="AU540" s="56"/>
      <c r="AV540" s="56"/>
      <c r="AW540" s="56"/>
      <c r="AX540" s="56"/>
      <c r="AY540" s="208"/>
      <c r="AZ540" s="211"/>
    </row>
    <row r="541" ht="18" customHeight="1" hidden="1">
      <c r="A541" s="207"/>
      <c r="B541" s="208"/>
      <c r="C541" s="56"/>
      <c r="D541" s="56"/>
      <c r="E541" s="56"/>
      <c r="F541" s="56"/>
      <c r="G541" s="56"/>
      <c r="H541" s="56"/>
      <c r="I541" s="56"/>
      <c r="J541" s="56"/>
      <c r="K541" s="56"/>
      <c r="L541" s="256"/>
      <c r="M541" s="256"/>
      <c r="N541" s="256"/>
      <c r="O541" s="256"/>
      <c r="P541" s="256"/>
      <c r="Q541" s="256"/>
      <c r="R541" s="256"/>
      <c r="S541" s="208"/>
      <c r="T541" s="256"/>
      <c r="U541" s="256"/>
      <c r="V541" s="256"/>
      <c r="W541" s="256"/>
      <c r="X541" s="237"/>
      <c r="Y541" s="256"/>
      <c r="Z541" s="256"/>
      <c r="AA541" s="256"/>
      <c r="AB541" s="256"/>
      <c r="AC541" s="256"/>
      <c r="AD541" s="256"/>
      <c r="AE541" s="256"/>
      <c r="AF541" s="256"/>
      <c r="AG541" s="256"/>
      <c r="AH541" s="256"/>
      <c r="AI541" s="256"/>
      <c r="AJ541" s="256"/>
      <c r="AK541" s="237"/>
      <c r="AL541" s="56"/>
      <c r="AM541" s="56"/>
      <c r="AN541" s="56"/>
      <c r="AO541" s="56"/>
      <c r="AP541" s="56"/>
      <c r="AQ541" s="56"/>
      <c r="AR541" s="56"/>
      <c r="AS541" s="56"/>
      <c r="AT541" s="56"/>
      <c r="AU541" s="56"/>
      <c r="AV541" s="56"/>
      <c r="AW541" s="56"/>
      <c r="AX541" s="56"/>
      <c r="AY541" s="208"/>
      <c r="AZ541" s="211"/>
    </row>
    <row r="542" ht="18" customHeight="1" hidden="1">
      <c r="A542" s="207"/>
      <c r="B542" s="208"/>
      <c r="C542" s="56"/>
      <c r="D542" s="56"/>
      <c r="E542" s="56"/>
      <c r="F542" s="56"/>
      <c r="G542" s="56"/>
      <c r="H542" s="56"/>
      <c r="I542" s="56"/>
      <c r="J542" s="56"/>
      <c r="K542" s="56"/>
      <c r="L542" s="256"/>
      <c r="M542" s="256"/>
      <c r="N542" s="256"/>
      <c r="O542" s="256"/>
      <c r="P542" s="256"/>
      <c r="Q542" s="256"/>
      <c r="R542" s="256"/>
      <c r="S542" s="208"/>
      <c r="T542" s="256"/>
      <c r="U542" s="256"/>
      <c r="V542" s="256"/>
      <c r="W542" s="256"/>
      <c r="X542" s="237"/>
      <c r="Y542" s="256"/>
      <c r="Z542" s="256"/>
      <c r="AA542" s="256"/>
      <c r="AB542" s="256"/>
      <c r="AC542" s="256"/>
      <c r="AD542" s="256"/>
      <c r="AE542" s="256"/>
      <c r="AF542" s="256"/>
      <c r="AG542" s="256"/>
      <c r="AH542" s="256"/>
      <c r="AI542" s="256"/>
      <c r="AJ542" s="256"/>
      <c r="AK542" s="237"/>
      <c r="AL542" s="56"/>
      <c r="AM542" s="56"/>
      <c r="AN542" s="56"/>
      <c r="AO542" s="56"/>
      <c r="AP542" s="56"/>
      <c r="AQ542" s="56"/>
      <c r="AR542" s="56"/>
      <c r="AS542" s="56"/>
      <c r="AT542" s="56"/>
      <c r="AU542" s="56"/>
      <c r="AV542" s="56"/>
      <c r="AW542" s="56"/>
      <c r="AX542" s="56"/>
      <c r="AY542" s="208"/>
      <c r="AZ542" s="211"/>
    </row>
    <row r="543" ht="18" customHeight="1" hidden="1">
      <c r="A543" s="207"/>
      <c r="B543" s="208"/>
      <c r="C543" s="56"/>
      <c r="D543" s="56"/>
      <c r="E543" s="56"/>
      <c r="F543" s="56"/>
      <c r="G543" s="56"/>
      <c r="H543" s="56"/>
      <c r="I543" s="56"/>
      <c r="J543" s="56"/>
      <c r="K543" s="56"/>
      <c r="L543" s="256"/>
      <c r="M543" s="256"/>
      <c r="N543" s="256"/>
      <c r="O543" s="256"/>
      <c r="P543" s="256"/>
      <c r="Q543" s="256"/>
      <c r="R543" s="256"/>
      <c r="S543" s="208"/>
      <c r="T543" s="256"/>
      <c r="U543" s="256"/>
      <c r="V543" s="256"/>
      <c r="W543" s="256"/>
      <c r="X543" s="237"/>
      <c r="Y543" s="256"/>
      <c r="Z543" s="256"/>
      <c r="AA543" s="256"/>
      <c r="AB543" s="256"/>
      <c r="AC543" s="256"/>
      <c r="AD543" s="256"/>
      <c r="AE543" s="256"/>
      <c r="AF543" s="256"/>
      <c r="AG543" s="256"/>
      <c r="AH543" s="256"/>
      <c r="AI543" s="256"/>
      <c r="AJ543" s="256"/>
      <c r="AK543" s="237"/>
      <c r="AL543" s="56"/>
      <c r="AM543" s="56"/>
      <c r="AN543" s="56"/>
      <c r="AO543" s="56"/>
      <c r="AP543" s="56"/>
      <c r="AQ543" s="56"/>
      <c r="AR543" s="56"/>
      <c r="AS543" s="56"/>
      <c r="AT543" s="56"/>
      <c r="AU543" s="56"/>
      <c r="AV543" s="56"/>
      <c r="AW543" s="56"/>
      <c r="AX543" s="56"/>
      <c r="AY543" s="208"/>
      <c r="AZ543" s="211"/>
    </row>
    <row r="544" ht="18" customHeight="1" hidden="1">
      <c r="A544" s="207"/>
      <c r="B544" s="208"/>
      <c r="C544" s="56"/>
      <c r="D544" s="56"/>
      <c r="E544" s="56"/>
      <c r="F544" s="56"/>
      <c r="G544" s="56"/>
      <c r="H544" s="56"/>
      <c r="I544" s="56"/>
      <c r="J544" s="56"/>
      <c r="K544" s="56"/>
      <c r="L544" s="256"/>
      <c r="M544" s="256"/>
      <c r="N544" s="256"/>
      <c r="O544" s="256"/>
      <c r="P544" s="256"/>
      <c r="Q544" s="256"/>
      <c r="R544" s="256"/>
      <c r="S544" s="208"/>
      <c r="T544" s="256"/>
      <c r="U544" s="256"/>
      <c r="V544" s="256"/>
      <c r="W544" s="256"/>
      <c r="X544" s="237"/>
      <c r="Y544" s="256"/>
      <c r="Z544" s="256"/>
      <c r="AA544" s="256"/>
      <c r="AB544" s="256"/>
      <c r="AC544" s="256"/>
      <c r="AD544" s="256"/>
      <c r="AE544" s="256"/>
      <c r="AF544" s="256"/>
      <c r="AG544" s="256"/>
      <c r="AH544" s="256"/>
      <c r="AI544" s="256"/>
      <c r="AJ544" s="256"/>
      <c r="AK544" s="237"/>
      <c r="AL544" s="56"/>
      <c r="AM544" s="56"/>
      <c r="AN544" s="56"/>
      <c r="AO544" s="56"/>
      <c r="AP544" s="56"/>
      <c r="AQ544" s="56"/>
      <c r="AR544" s="56"/>
      <c r="AS544" s="56"/>
      <c r="AT544" s="56"/>
      <c r="AU544" s="56"/>
      <c r="AV544" s="56"/>
      <c r="AW544" s="56"/>
      <c r="AX544" s="56"/>
      <c r="AY544" s="208"/>
      <c r="AZ544" s="211"/>
    </row>
    <row r="545" ht="18" customHeight="1" hidden="1">
      <c r="A545" s="207"/>
      <c r="B545" s="208"/>
      <c r="C545" s="56"/>
      <c r="D545" s="56"/>
      <c r="E545" s="56"/>
      <c r="F545" s="56"/>
      <c r="G545" s="56"/>
      <c r="H545" s="56"/>
      <c r="I545" s="56"/>
      <c r="J545" s="56"/>
      <c r="K545" s="56"/>
      <c r="L545" s="256"/>
      <c r="M545" s="256"/>
      <c r="N545" s="256"/>
      <c r="O545" s="256"/>
      <c r="P545" s="256"/>
      <c r="Q545" s="256"/>
      <c r="R545" s="256"/>
      <c r="S545" s="208"/>
      <c r="T545" s="256"/>
      <c r="U545" s="256"/>
      <c r="V545" s="256"/>
      <c r="W545" s="256"/>
      <c r="X545" s="237"/>
      <c r="Y545" s="256"/>
      <c r="Z545" s="256"/>
      <c r="AA545" s="256"/>
      <c r="AB545" s="256"/>
      <c r="AC545" s="256"/>
      <c r="AD545" s="256"/>
      <c r="AE545" s="256"/>
      <c r="AF545" s="256"/>
      <c r="AG545" s="256"/>
      <c r="AH545" s="256"/>
      <c r="AI545" s="256"/>
      <c r="AJ545" s="256"/>
      <c r="AK545" s="237"/>
      <c r="AL545" s="56"/>
      <c r="AM545" s="56"/>
      <c r="AN545" s="56"/>
      <c r="AO545" s="56"/>
      <c r="AP545" s="56"/>
      <c r="AQ545" s="56"/>
      <c r="AR545" s="56"/>
      <c r="AS545" s="56"/>
      <c r="AT545" s="56"/>
      <c r="AU545" s="56"/>
      <c r="AV545" s="56"/>
      <c r="AW545" s="56"/>
      <c r="AX545" s="56"/>
      <c r="AY545" s="208"/>
      <c r="AZ545" s="211"/>
    </row>
    <row r="546" ht="18" customHeight="1" hidden="1">
      <c r="A546" s="207"/>
      <c r="B546" s="208"/>
      <c r="C546" s="56"/>
      <c r="D546" s="56"/>
      <c r="E546" s="56"/>
      <c r="F546" s="56"/>
      <c r="G546" s="56"/>
      <c r="H546" s="56"/>
      <c r="I546" s="56"/>
      <c r="J546" s="56"/>
      <c r="K546" s="56"/>
      <c r="L546" s="256"/>
      <c r="M546" s="256"/>
      <c r="N546" s="256"/>
      <c r="O546" s="256"/>
      <c r="P546" s="256"/>
      <c r="Q546" s="256"/>
      <c r="R546" s="256"/>
      <c r="S546" s="208"/>
      <c r="T546" s="256"/>
      <c r="U546" s="256"/>
      <c r="V546" s="256"/>
      <c r="W546" s="256"/>
      <c r="X546" s="237"/>
      <c r="Y546" s="256"/>
      <c r="Z546" s="256"/>
      <c r="AA546" s="256"/>
      <c r="AB546" s="256"/>
      <c r="AC546" s="256"/>
      <c r="AD546" s="256"/>
      <c r="AE546" s="256"/>
      <c r="AF546" s="256"/>
      <c r="AG546" s="256"/>
      <c r="AH546" s="256"/>
      <c r="AI546" s="256"/>
      <c r="AJ546" s="256"/>
      <c r="AK546" s="237"/>
      <c r="AL546" s="56"/>
      <c r="AM546" s="56"/>
      <c r="AN546" s="56"/>
      <c r="AO546" s="56"/>
      <c r="AP546" s="56"/>
      <c r="AQ546" s="56"/>
      <c r="AR546" s="56"/>
      <c r="AS546" s="56"/>
      <c r="AT546" s="56"/>
      <c r="AU546" s="56"/>
      <c r="AV546" s="56"/>
      <c r="AW546" s="56"/>
      <c r="AX546" s="56"/>
      <c r="AY546" s="208"/>
      <c r="AZ546" s="211"/>
    </row>
    <row r="547" ht="18" customHeight="1" hidden="1">
      <c r="A547" s="207"/>
      <c r="B547" s="208"/>
      <c r="C547" s="56"/>
      <c r="D547" s="56"/>
      <c r="E547" s="56"/>
      <c r="F547" s="56"/>
      <c r="G547" s="56"/>
      <c r="H547" s="56"/>
      <c r="I547" s="56"/>
      <c r="J547" s="56"/>
      <c r="K547" s="56"/>
      <c r="L547" s="256"/>
      <c r="M547" s="256"/>
      <c r="N547" s="256"/>
      <c r="O547" s="256"/>
      <c r="P547" s="256"/>
      <c r="Q547" s="256"/>
      <c r="R547" s="256"/>
      <c r="S547" s="208"/>
      <c r="T547" s="256"/>
      <c r="U547" s="256"/>
      <c r="V547" s="256"/>
      <c r="W547" s="256"/>
      <c r="X547" s="237"/>
      <c r="Y547" s="256"/>
      <c r="Z547" s="256"/>
      <c r="AA547" s="256"/>
      <c r="AB547" s="256"/>
      <c r="AC547" s="256"/>
      <c r="AD547" s="256"/>
      <c r="AE547" s="256"/>
      <c r="AF547" s="256"/>
      <c r="AG547" s="256"/>
      <c r="AH547" s="256"/>
      <c r="AI547" s="256"/>
      <c r="AJ547" s="256"/>
      <c r="AK547" s="237"/>
      <c r="AL547" s="56"/>
      <c r="AM547" s="56"/>
      <c r="AN547" s="56"/>
      <c r="AO547" s="56"/>
      <c r="AP547" s="56"/>
      <c r="AQ547" s="56"/>
      <c r="AR547" s="56"/>
      <c r="AS547" s="56"/>
      <c r="AT547" s="56"/>
      <c r="AU547" s="56"/>
      <c r="AV547" s="56"/>
      <c r="AW547" s="56"/>
      <c r="AX547" s="56"/>
      <c r="AY547" s="208"/>
      <c r="AZ547" s="211"/>
    </row>
    <row r="548" ht="18" customHeight="1" hidden="1">
      <c r="A548" s="207"/>
      <c r="B548" s="208"/>
      <c r="C548" s="56"/>
      <c r="D548" s="56"/>
      <c r="E548" s="56"/>
      <c r="F548" s="56"/>
      <c r="G548" s="56"/>
      <c r="H548" s="56"/>
      <c r="I548" s="56"/>
      <c r="J548" s="56"/>
      <c r="K548" s="56"/>
      <c r="L548" s="256"/>
      <c r="M548" s="256"/>
      <c r="N548" s="256"/>
      <c r="O548" s="256"/>
      <c r="P548" s="256"/>
      <c r="Q548" s="256"/>
      <c r="R548" s="256"/>
      <c r="S548" s="208"/>
      <c r="T548" s="256"/>
      <c r="U548" s="256"/>
      <c r="V548" s="256"/>
      <c r="W548" s="256"/>
      <c r="X548" s="237"/>
      <c r="Y548" s="256"/>
      <c r="Z548" s="256"/>
      <c r="AA548" s="256"/>
      <c r="AB548" s="256"/>
      <c r="AC548" s="256"/>
      <c r="AD548" s="256"/>
      <c r="AE548" s="256"/>
      <c r="AF548" s="256"/>
      <c r="AG548" s="256"/>
      <c r="AH548" s="256"/>
      <c r="AI548" s="256"/>
      <c r="AJ548" s="256"/>
      <c r="AK548" s="237"/>
      <c r="AL548" s="56"/>
      <c r="AM548" s="56"/>
      <c r="AN548" s="56"/>
      <c r="AO548" s="56"/>
      <c r="AP548" s="56"/>
      <c r="AQ548" s="56"/>
      <c r="AR548" s="56"/>
      <c r="AS548" s="56"/>
      <c r="AT548" s="56"/>
      <c r="AU548" s="56"/>
      <c r="AV548" s="56"/>
      <c r="AW548" s="56"/>
      <c r="AX548" s="56"/>
      <c r="AY548" s="208"/>
      <c r="AZ548" s="211"/>
    </row>
    <row r="549" ht="18" customHeight="1" hidden="1">
      <c r="A549" s="207"/>
      <c r="B549" s="208"/>
      <c r="C549" s="56"/>
      <c r="D549" s="56"/>
      <c r="E549" s="56"/>
      <c r="F549" s="56"/>
      <c r="G549" s="56"/>
      <c r="H549" s="56"/>
      <c r="I549" s="56"/>
      <c r="J549" s="56"/>
      <c r="K549" s="56"/>
      <c r="L549" s="256"/>
      <c r="M549" s="256"/>
      <c r="N549" s="256"/>
      <c r="O549" s="256"/>
      <c r="P549" s="256"/>
      <c r="Q549" s="256"/>
      <c r="R549" s="256"/>
      <c r="S549" s="208"/>
      <c r="T549" s="256"/>
      <c r="U549" s="256"/>
      <c r="V549" s="256"/>
      <c r="W549" s="256"/>
      <c r="X549" s="237"/>
      <c r="Y549" s="256"/>
      <c r="Z549" s="256"/>
      <c r="AA549" s="256"/>
      <c r="AB549" s="256"/>
      <c r="AC549" s="256"/>
      <c r="AD549" s="256"/>
      <c r="AE549" s="256"/>
      <c r="AF549" s="256"/>
      <c r="AG549" s="256"/>
      <c r="AH549" s="256"/>
      <c r="AI549" s="256"/>
      <c r="AJ549" s="256"/>
      <c r="AK549" s="237"/>
      <c r="AL549" s="56"/>
      <c r="AM549" s="56"/>
      <c r="AN549" s="56"/>
      <c r="AO549" s="56"/>
      <c r="AP549" s="56"/>
      <c r="AQ549" s="56"/>
      <c r="AR549" s="56"/>
      <c r="AS549" s="56"/>
      <c r="AT549" s="56"/>
      <c r="AU549" s="56"/>
      <c r="AV549" s="56"/>
      <c r="AW549" s="56"/>
      <c r="AX549" s="56"/>
      <c r="AY549" s="208"/>
      <c r="AZ549" s="211"/>
    </row>
    <row r="550" ht="18" customHeight="1" hidden="1">
      <c r="A550" s="207"/>
      <c r="B550" s="208"/>
      <c r="C550" s="56"/>
      <c r="D550" s="56"/>
      <c r="E550" s="56"/>
      <c r="F550" s="56"/>
      <c r="G550" s="56"/>
      <c r="H550" s="56"/>
      <c r="I550" s="56"/>
      <c r="J550" s="56"/>
      <c r="K550" s="56"/>
      <c r="L550" s="256"/>
      <c r="M550" s="256"/>
      <c r="N550" s="256"/>
      <c r="O550" s="256"/>
      <c r="P550" s="256"/>
      <c r="Q550" s="256"/>
      <c r="R550" s="256"/>
      <c r="S550" s="208"/>
      <c r="T550" s="256"/>
      <c r="U550" s="256"/>
      <c r="V550" s="256"/>
      <c r="W550" s="256"/>
      <c r="X550" s="237"/>
      <c r="Y550" s="256"/>
      <c r="Z550" s="256"/>
      <c r="AA550" s="256"/>
      <c r="AB550" s="256"/>
      <c r="AC550" s="256"/>
      <c r="AD550" s="256"/>
      <c r="AE550" s="256"/>
      <c r="AF550" s="256"/>
      <c r="AG550" s="256"/>
      <c r="AH550" s="256"/>
      <c r="AI550" s="256"/>
      <c r="AJ550" s="256"/>
      <c r="AK550" s="237"/>
      <c r="AL550" s="56"/>
      <c r="AM550" s="56"/>
      <c r="AN550" s="56"/>
      <c r="AO550" s="56"/>
      <c r="AP550" s="56"/>
      <c r="AQ550" s="56"/>
      <c r="AR550" s="56"/>
      <c r="AS550" s="56"/>
      <c r="AT550" s="56"/>
      <c r="AU550" s="56"/>
      <c r="AV550" s="56"/>
      <c r="AW550" s="56"/>
      <c r="AX550" s="56"/>
      <c r="AY550" s="208"/>
      <c r="AZ550" s="211"/>
    </row>
    <row r="551" ht="18" customHeight="1" hidden="1">
      <c r="A551" s="207"/>
      <c r="B551" s="208"/>
      <c r="C551" s="56"/>
      <c r="D551" s="56"/>
      <c r="E551" s="56"/>
      <c r="F551" s="56"/>
      <c r="G551" s="56"/>
      <c r="H551" s="56"/>
      <c r="I551" s="56"/>
      <c r="J551" s="56"/>
      <c r="K551" s="56"/>
      <c r="L551" s="256"/>
      <c r="M551" s="256"/>
      <c r="N551" s="256"/>
      <c r="O551" s="256"/>
      <c r="P551" s="256"/>
      <c r="Q551" s="256"/>
      <c r="R551" s="256"/>
      <c r="S551" s="208"/>
      <c r="T551" s="256"/>
      <c r="U551" s="256"/>
      <c r="V551" s="256"/>
      <c r="W551" s="256"/>
      <c r="X551" s="237"/>
      <c r="Y551" s="256"/>
      <c r="Z551" s="256"/>
      <c r="AA551" s="256"/>
      <c r="AB551" s="256"/>
      <c r="AC551" s="256"/>
      <c r="AD551" s="256"/>
      <c r="AE551" s="256"/>
      <c r="AF551" s="256"/>
      <c r="AG551" s="256"/>
      <c r="AH551" s="256"/>
      <c r="AI551" s="256"/>
      <c r="AJ551" s="256"/>
      <c r="AK551" s="237"/>
      <c r="AL551" s="56"/>
      <c r="AM551" s="56"/>
      <c r="AN551" s="56"/>
      <c r="AO551" s="56"/>
      <c r="AP551" s="56"/>
      <c r="AQ551" s="56"/>
      <c r="AR551" s="56"/>
      <c r="AS551" s="56"/>
      <c r="AT551" s="56"/>
      <c r="AU551" s="56"/>
      <c r="AV551" s="56"/>
      <c r="AW551" s="56"/>
      <c r="AX551" s="56"/>
      <c r="AY551" s="208"/>
      <c r="AZ551" s="211"/>
    </row>
    <row r="552" ht="18" customHeight="1" hidden="1">
      <c r="A552" s="207"/>
      <c r="B552" s="208"/>
      <c r="C552" s="56"/>
      <c r="D552" s="56"/>
      <c r="E552" s="56"/>
      <c r="F552" s="56"/>
      <c r="G552" s="56"/>
      <c r="H552" s="56"/>
      <c r="I552" s="56"/>
      <c r="J552" s="56"/>
      <c r="K552" s="56"/>
      <c r="L552" s="256"/>
      <c r="M552" s="256"/>
      <c r="N552" s="256"/>
      <c r="O552" s="256"/>
      <c r="P552" s="256"/>
      <c r="Q552" s="256"/>
      <c r="R552" s="256"/>
      <c r="S552" s="208"/>
      <c r="T552" s="256"/>
      <c r="U552" s="256"/>
      <c r="V552" s="256"/>
      <c r="W552" s="256"/>
      <c r="X552" s="237"/>
      <c r="Y552" s="256"/>
      <c r="Z552" s="256"/>
      <c r="AA552" s="256"/>
      <c r="AB552" s="256"/>
      <c r="AC552" s="256"/>
      <c r="AD552" s="256"/>
      <c r="AE552" s="256"/>
      <c r="AF552" s="256"/>
      <c r="AG552" s="256"/>
      <c r="AH552" s="256"/>
      <c r="AI552" s="256"/>
      <c r="AJ552" s="256"/>
      <c r="AK552" s="237"/>
      <c r="AL552" s="56"/>
      <c r="AM552" s="56"/>
      <c r="AN552" s="56"/>
      <c r="AO552" s="56"/>
      <c r="AP552" s="56"/>
      <c r="AQ552" s="56"/>
      <c r="AR552" s="56"/>
      <c r="AS552" s="56"/>
      <c r="AT552" s="56"/>
      <c r="AU552" s="56"/>
      <c r="AV552" s="56"/>
      <c r="AW552" s="56"/>
      <c r="AX552" s="56"/>
      <c r="AY552" s="208"/>
      <c r="AZ552" s="211"/>
    </row>
    <row r="553" ht="18" customHeight="1" hidden="1">
      <c r="A553" s="207"/>
      <c r="B553" s="208"/>
      <c r="C553" s="56"/>
      <c r="D553" s="56"/>
      <c r="E553" s="56"/>
      <c r="F553" s="56"/>
      <c r="G553" s="56"/>
      <c r="H553" s="56"/>
      <c r="I553" s="56"/>
      <c r="J553" s="56"/>
      <c r="K553" s="56"/>
      <c r="L553" s="256"/>
      <c r="M553" s="256"/>
      <c r="N553" s="256"/>
      <c r="O553" s="256"/>
      <c r="P553" s="256"/>
      <c r="Q553" s="256"/>
      <c r="R553" s="256"/>
      <c r="S553" s="208"/>
      <c r="T553" s="256"/>
      <c r="U553" s="256"/>
      <c r="V553" s="256"/>
      <c r="W553" s="256"/>
      <c r="X553" s="237"/>
      <c r="Y553" s="256"/>
      <c r="Z553" s="256"/>
      <c r="AA553" s="256"/>
      <c r="AB553" s="256"/>
      <c r="AC553" s="256"/>
      <c r="AD553" s="256"/>
      <c r="AE553" s="256"/>
      <c r="AF553" s="256"/>
      <c r="AG553" s="256"/>
      <c r="AH553" s="256"/>
      <c r="AI553" s="256"/>
      <c r="AJ553" s="256"/>
      <c r="AK553" s="237"/>
      <c r="AL553" s="56"/>
      <c r="AM553" s="56"/>
      <c r="AN553" s="56"/>
      <c r="AO553" s="56"/>
      <c r="AP553" s="56"/>
      <c r="AQ553" s="56"/>
      <c r="AR553" s="56"/>
      <c r="AS553" s="56"/>
      <c r="AT553" s="56"/>
      <c r="AU553" s="56"/>
      <c r="AV553" s="56"/>
      <c r="AW553" s="56"/>
      <c r="AX553" s="56"/>
      <c r="AY553" s="208"/>
      <c r="AZ553" s="211"/>
    </row>
    <row r="554" ht="18" customHeight="1" hidden="1">
      <c r="A554" s="207"/>
      <c r="B554" s="208"/>
      <c r="C554" s="56"/>
      <c r="D554" s="56"/>
      <c r="E554" s="56"/>
      <c r="F554" s="56"/>
      <c r="G554" s="56"/>
      <c r="H554" s="56"/>
      <c r="I554" s="56"/>
      <c r="J554" s="56"/>
      <c r="K554" s="56"/>
      <c r="L554" s="256"/>
      <c r="M554" s="256"/>
      <c r="N554" s="256"/>
      <c r="O554" s="256"/>
      <c r="P554" s="256"/>
      <c r="Q554" s="256"/>
      <c r="R554" s="256"/>
      <c r="S554" s="208"/>
      <c r="T554" s="256"/>
      <c r="U554" s="256"/>
      <c r="V554" s="256"/>
      <c r="W554" s="256"/>
      <c r="X554" s="237"/>
      <c r="Y554" s="256"/>
      <c r="Z554" s="256"/>
      <c r="AA554" s="256"/>
      <c r="AB554" s="256"/>
      <c r="AC554" s="256"/>
      <c r="AD554" s="256"/>
      <c r="AE554" s="256"/>
      <c r="AF554" s="256"/>
      <c r="AG554" s="256"/>
      <c r="AH554" s="256"/>
      <c r="AI554" s="256"/>
      <c r="AJ554" s="256"/>
      <c r="AK554" s="237"/>
      <c r="AL554" s="56"/>
      <c r="AM554" s="56"/>
      <c r="AN554" s="56"/>
      <c r="AO554" s="56"/>
      <c r="AP554" s="56"/>
      <c r="AQ554" s="56"/>
      <c r="AR554" s="56"/>
      <c r="AS554" s="56"/>
      <c r="AT554" s="56"/>
      <c r="AU554" s="56"/>
      <c r="AV554" s="56"/>
      <c r="AW554" s="56"/>
      <c r="AX554" s="56"/>
      <c r="AY554" s="208"/>
      <c r="AZ554" s="211"/>
    </row>
    <row r="555" ht="18" customHeight="1" hidden="1">
      <c r="A555" s="207"/>
      <c r="B555" s="208"/>
      <c r="C555" s="56"/>
      <c r="D555" s="56"/>
      <c r="E555" s="56"/>
      <c r="F555" s="56"/>
      <c r="G555" s="56"/>
      <c r="H555" s="56"/>
      <c r="I555" s="56"/>
      <c r="J555" s="56"/>
      <c r="K555" s="56"/>
      <c r="L555" s="256"/>
      <c r="M555" s="256"/>
      <c r="N555" s="256"/>
      <c r="O555" s="256"/>
      <c r="P555" s="256"/>
      <c r="Q555" s="256"/>
      <c r="R555" s="256"/>
      <c r="S555" s="208"/>
      <c r="T555" s="256"/>
      <c r="U555" s="256"/>
      <c r="V555" s="256"/>
      <c r="W555" s="256"/>
      <c r="X555" s="237"/>
      <c r="Y555" s="256"/>
      <c r="Z555" s="256"/>
      <c r="AA555" s="256"/>
      <c r="AB555" s="256"/>
      <c r="AC555" s="256"/>
      <c r="AD555" s="256"/>
      <c r="AE555" s="256"/>
      <c r="AF555" s="256"/>
      <c r="AG555" s="256"/>
      <c r="AH555" s="256"/>
      <c r="AI555" s="256"/>
      <c r="AJ555" s="256"/>
      <c r="AK555" s="237"/>
      <c r="AL555" s="56"/>
      <c r="AM555" s="56"/>
      <c r="AN555" s="56"/>
      <c r="AO555" s="56"/>
      <c r="AP555" s="56"/>
      <c r="AQ555" s="56"/>
      <c r="AR555" s="56"/>
      <c r="AS555" s="56"/>
      <c r="AT555" s="56"/>
      <c r="AU555" s="56"/>
      <c r="AV555" s="56"/>
      <c r="AW555" s="56"/>
      <c r="AX555" s="56"/>
      <c r="AY555" s="208"/>
      <c r="AZ555" s="211"/>
    </row>
    <row r="556" ht="18" customHeight="1" hidden="1">
      <c r="A556" s="207"/>
      <c r="B556" s="208"/>
      <c r="C556" s="56"/>
      <c r="D556" s="56"/>
      <c r="E556" s="56"/>
      <c r="F556" s="56"/>
      <c r="G556" s="56"/>
      <c r="H556" s="56"/>
      <c r="I556" s="56"/>
      <c r="J556" s="56"/>
      <c r="K556" s="56"/>
      <c r="L556" s="256"/>
      <c r="M556" s="256"/>
      <c r="N556" s="256"/>
      <c r="O556" s="256"/>
      <c r="P556" s="256"/>
      <c r="Q556" s="256"/>
      <c r="R556" s="256"/>
      <c r="S556" s="208"/>
      <c r="T556" s="256"/>
      <c r="U556" s="256"/>
      <c r="V556" s="256"/>
      <c r="W556" s="256"/>
      <c r="X556" s="237"/>
      <c r="Y556" s="256"/>
      <c r="Z556" s="256"/>
      <c r="AA556" s="256"/>
      <c r="AB556" s="256"/>
      <c r="AC556" s="256"/>
      <c r="AD556" s="256"/>
      <c r="AE556" s="256"/>
      <c r="AF556" s="256"/>
      <c r="AG556" s="256"/>
      <c r="AH556" s="256"/>
      <c r="AI556" s="256"/>
      <c r="AJ556" s="256"/>
      <c r="AK556" s="237"/>
      <c r="AL556" s="56"/>
      <c r="AM556" s="56"/>
      <c r="AN556" s="56"/>
      <c r="AO556" s="56"/>
      <c r="AP556" s="56"/>
      <c r="AQ556" s="56"/>
      <c r="AR556" s="56"/>
      <c r="AS556" s="56"/>
      <c r="AT556" s="56"/>
      <c r="AU556" s="56"/>
      <c r="AV556" s="56"/>
      <c r="AW556" s="56"/>
      <c r="AX556" s="56"/>
      <c r="AY556" s="208"/>
      <c r="AZ556" s="211"/>
    </row>
    <row r="557" ht="18" customHeight="1" hidden="1">
      <c r="A557" s="207"/>
      <c r="B557" s="208"/>
      <c r="C557" s="56"/>
      <c r="D557" s="56"/>
      <c r="E557" s="56"/>
      <c r="F557" s="56"/>
      <c r="G557" s="56"/>
      <c r="H557" s="56"/>
      <c r="I557" s="56"/>
      <c r="J557" s="56"/>
      <c r="K557" s="56"/>
      <c r="L557" s="256"/>
      <c r="M557" s="256"/>
      <c r="N557" s="256"/>
      <c r="O557" s="256"/>
      <c r="P557" s="256"/>
      <c r="Q557" s="256"/>
      <c r="R557" s="256"/>
      <c r="S557" s="208"/>
      <c r="T557" s="256"/>
      <c r="U557" s="256"/>
      <c r="V557" s="256"/>
      <c r="W557" s="256"/>
      <c r="X557" s="237"/>
      <c r="Y557" s="256"/>
      <c r="Z557" s="256"/>
      <c r="AA557" s="256"/>
      <c r="AB557" s="256"/>
      <c r="AC557" s="256"/>
      <c r="AD557" s="256"/>
      <c r="AE557" s="256"/>
      <c r="AF557" s="256"/>
      <c r="AG557" s="256"/>
      <c r="AH557" s="256"/>
      <c r="AI557" s="256"/>
      <c r="AJ557" s="256"/>
      <c r="AK557" s="237"/>
      <c r="AL557" s="56"/>
      <c r="AM557" s="56"/>
      <c r="AN557" s="56"/>
      <c r="AO557" s="56"/>
      <c r="AP557" s="56"/>
      <c r="AQ557" s="56"/>
      <c r="AR557" s="56"/>
      <c r="AS557" s="56"/>
      <c r="AT557" s="56"/>
      <c r="AU557" s="56"/>
      <c r="AV557" s="56"/>
      <c r="AW557" s="56"/>
      <c r="AX557" s="56"/>
      <c r="AY557" s="208"/>
      <c r="AZ557" s="211"/>
    </row>
    <row r="558" ht="18" customHeight="1" hidden="1">
      <c r="A558" s="207"/>
      <c r="B558" s="208"/>
      <c r="C558" s="56"/>
      <c r="D558" s="56"/>
      <c r="E558" s="56"/>
      <c r="F558" s="56"/>
      <c r="G558" s="56"/>
      <c r="H558" s="56"/>
      <c r="I558" s="56"/>
      <c r="J558" s="56"/>
      <c r="K558" s="56"/>
      <c r="L558" s="256"/>
      <c r="M558" s="256"/>
      <c r="N558" s="256"/>
      <c r="O558" s="256"/>
      <c r="P558" s="256"/>
      <c r="Q558" s="256"/>
      <c r="R558" s="256"/>
      <c r="S558" s="208"/>
      <c r="T558" s="256"/>
      <c r="U558" s="256"/>
      <c r="V558" s="256"/>
      <c r="W558" s="256"/>
      <c r="X558" s="237"/>
      <c r="Y558" s="256"/>
      <c r="Z558" s="256"/>
      <c r="AA558" s="256"/>
      <c r="AB558" s="256"/>
      <c r="AC558" s="256"/>
      <c r="AD558" s="256"/>
      <c r="AE558" s="256"/>
      <c r="AF558" s="256"/>
      <c r="AG558" s="256"/>
      <c r="AH558" s="256"/>
      <c r="AI558" s="256"/>
      <c r="AJ558" s="256"/>
      <c r="AK558" s="237"/>
      <c r="AL558" s="56"/>
      <c r="AM558" s="56"/>
      <c r="AN558" s="56"/>
      <c r="AO558" s="56"/>
      <c r="AP558" s="56"/>
      <c r="AQ558" s="56"/>
      <c r="AR558" s="56"/>
      <c r="AS558" s="56"/>
      <c r="AT558" s="56"/>
      <c r="AU558" s="56"/>
      <c r="AV558" s="56"/>
      <c r="AW558" s="56"/>
      <c r="AX558" s="56"/>
      <c r="AY558" s="208"/>
      <c r="AZ558" s="211"/>
    </row>
    <row r="559" ht="18" customHeight="1" hidden="1">
      <c r="A559" s="207"/>
      <c r="B559" s="208"/>
      <c r="C559" s="56"/>
      <c r="D559" s="56"/>
      <c r="E559" s="56"/>
      <c r="F559" s="56"/>
      <c r="G559" s="56"/>
      <c r="H559" s="56"/>
      <c r="I559" s="56"/>
      <c r="J559" s="56"/>
      <c r="K559" s="56"/>
      <c r="L559" s="256"/>
      <c r="M559" s="256"/>
      <c r="N559" s="256"/>
      <c r="O559" s="256"/>
      <c r="P559" s="256"/>
      <c r="Q559" s="256"/>
      <c r="R559" s="256"/>
      <c r="S559" s="208"/>
      <c r="T559" s="256"/>
      <c r="U559" s="256"/>
      <c r="V559" s="256"/>
      <c r="W559" s="256"/>
      <c r="X559" s="237"/>
      <c r="Y559" s="256"/>
      <c r="Z559" s="256"/>
      <c r="AA559" s="256"/>
      <c r="AB559" s="256"/>
      <c r="AC559" s="256"/>
      <c r="AD559" s="256"/>
      <c r="AE559" s="256"/>
      <c r="AF559" s="256"/>
      <c r="AG559" s="256"/>
      <c r="AH559" s="256"/>
      <c r="AI559" s="256"/>
      <c r="AJ559" s="256"/>
      <c r="AK559" s="237"/>
      <c r="AL559" s="56"/>
      <c r="AM559" s="56"/>
      <c r="AN559" s="56"/>
      <c r="AO559" s="56"/>
      <c r="AP559" s="56"/>
      <c r="AQ559" s="56"/>
      <c r="AR559" s="56"/>
      <c r="AS559" s="56"/>
      <c r="AT559" s="56"/>
      <c r="AU559" s="56"/>
      <c r="AV559" s="56"/>
      <c r="AW559" s="56"/>
      <c r="AX559" s="56"/>
      <c r="AY559" s="208"/>
      <c r="AZ559" s="211"/>
    </row>
    <row r="560" ht="18" customHeight="1" hidden="1">
      <c r="A560" s="207"/>
      <c r="B560" s="208"/>
      <c r="C560" s="56"/>
      <c r="D560" s="56"/>
      <c r="E560" s="56"/>
      <c r="F560" s="56"/>
      <c r="G560" s="56"/>
      <c r="H560" s="56"/>
      <c r="I560" s="56"/>
      <c r="J560" s="56"/>
      <c r="K560" s="56"/>
      <c r="L560" s="256"/>
      <c r="M560" s="256"/>
      <c r="N560" s="256"/>
      <c r="O560" s="256"/>
      <c r="P560" s="256"/>
      <c r="Q560" s="256"/>
      <c r="R560" s="256"/>
      <c r="S560" s="208"/>
      <c r="T560" s="256"/>
      <c r="U560" s="256"/>
      <c r="V560" s="256"/>
      <c r="W560" s="256"/>
      <c r="X560" s="237"/>
      <c r="Y560" s="256"/>
      <c r="Z560" s="256"/>
      <c r="AA560" s="256"/>
      <c r="AB560" s="256"/>
      <c r="AC560" s="256"/>
      <c r="AD560" s="256"/>
      <c r="AE560" s="256"/>
      <c r="AF560" s="256"/>
      <c r="AG560" s="256"/>
      <c r="AH560" s="256"/>
      <c r="AI560" s="256"/>
      <c r="AJ560" s="256"/>
      <c r="AK560" s="237"/>
      <c r="AL560" s="56"/>
      <c r="AM560" s="56"/>
      <c r="AN560" s="56"/>
      <c r="AO560" s="56"/>
      <c r="AP560" s="56"/>
      <c r="AQ560" s="56"/>
      <c r="AR560" s="56"/>
      <c r="AS560" s="56"/>
      <c r="AT560" s="56"/>
      <c r="AU560" s="56"/>
      <c r="AV560" s="56"/>
      <c r="AW560" s="56"/>
      <c r="AX560" s="56"/>
      <c r="AY560" s="208"/>
      <c r="AZ560" s="211"/>
    </row>
    <row r="561" ht="18" customHeight="1" hidden="1">
      <c r="A561" s="207"/>
      <c r="B561" s="208"/>
      <c r="C561" s="56"/>
      <c r="D561" s="56"/>
      <c r="E561" s="56"/>
      <c r="F561" s="56"/>
      <c r="G561" s="56"/>
      <c r="H561" s="56"/>
      <c r="I561" s="56"/>
      <c r="J561" s="56"/>
      <c r="K561" s="56"/>
      <c r="L561" s="256"/>
      <c r="M561" s="256"/>
      <c r="N561" s="256"/>
      <c r="O561" s="256"/>
      <c r="P561" s="256"/>
      <c r="Q561" s="256"/>
      <c r="R561" s="256"/>
      <c r="S561" s="208"/>
      <c r="T561" s="256"/>
      <c r="U561" s="256"/>
      <c r="V561" s="256"/>
      <c r="W561" s="256"/>
      <c r="X561" s="237"/>
      <c r="Y561" s="256"/>
      <c r="Z561" s="256"/>
      <c r="AA561" s="256"/>
      <c r="AB561" s="256"/>
      <c r="AC561" s="256"/>
      <c r="AD561" s="256"/>
      <c r="AE561" s="256"/>
      <c r="AF561" s="256"/>
      <c r="AG561" s="256"/>
      <c r="AH561" s="256"/>
      <c r="AI561" s="256"/>
      <c r="AJ561" s="256"/>
      <c r="AK561" s="237"/>
      <c r="AL561" s="56"/>
      <c r="AM561" s="56"/>
      <c r="AN561" s="56"/>
      <c r="AO561" s="56"/>
      <c r="AP561" s="56"/>
      <c r="AQ561" s="56"/>
      <c r="AR561" s="56"/>
      <c r="AS561" s="56"/>
      <c r="AT561" s="56"/>
      <c r="AU561" s="56"/>
      <c r="AV561" s="56"/>
      <c r="AW561" s="56"/>
      <c r="AX561" s="56"/>
      <c r="AY561" s="208"/>
      <c r="AZ561" s="211"/>
    </row>
    <row r="562" ht="18" customHeight="1" hidden="1">
      <c r="A562" s="207"/>
      <c r="B562" s="208"/>
      <c r="C562" s="56"/>
      <c r="D562" s="56"/>
      <c r="E562" s="56"/>
      <c r="F562" s="56"/>
      <c r="G562" s="56"/>
      <c r="H562" s="56"/>
      <c r="I562" s="56"/>
      <c r="J562" s="56"/>
      <c r="K562" s="56"/>
      <c r="L562" s="256"/>
      <c r="M562" s="256"/>
      <c r="N562" s="256"/>
      <c r="O562" s="256"/>
      <c r="P562" s="256"/>
      <c r="Q562" s="256"/>
      <c r="R562" s="256"/>
      <c r="S562" s="208"/>
      <c r="T562" s="256"/>
      <c r="U562" s="256"/>
      <c r="V562" s="256"/>
      <c r="W562" s="256"/>
      <c r="X562" s="237"/>
      <c r="Y562" s="256"/>
      <c r="Z562" s="256"/>
      <c r="AA562" s="256"/>
      <c r="AB562" s="256"/>
      <c r="AC562" s="256"/>
      <c r="AD562" s="256"/>
      <c r="AE562" s="256"/>
      <c r="AF562" s="256"/>
      <c r="AG562" s="256"/>
      <c r="AH562" s="256"/>
      <c r="AI562" s="256"/>
      <c r="AJ562" s="256"/>
      <c r="AK562" s="237"/>
      <c r="AL562" s="56"/>
      <c r="AM562" s="56"/>
      <c r="AN562" s="56"/>
      <c r="AO562" s="56"/>
      <c r="AP562" s="56"/>
      <c r="AQ562" s="56"/>
      <c r="AR562" s="56"/>
      <c r="AS562" s="56"/>
      <c r="AT562" s="56"/>
      <c r="AU562" s="56"/>
      <c r="AV562" s="56"/>
      <c r="AW562" s="56"/>
      <c r="AX562" s="56"/>
      <c r="AY562" s="208"/>
      <c r="AZ562" s="211"/>
    </row>
    <row r="563" ht="18" customHeight="1" hidden="1">
      <c r="A563" s="207"/>
      <c r="B563" s="208"/>
      <c r="C563" s="56"/>
      <c r="D563" s="56"/>
      <c r="E563" s="56"/>
      <c r="F563" s="56"/>
      <c r="G563" s="56"/>
      <c r="H563" s="56"/>
      <c r="I563" s="56"/>
      <c r="J563" s="56"/>
      <c r="K563" s="56"/>
      <c r="L563" s="256"/>
      <c r="M563" s="256"/>
      <c r="N563" s="256"/>
      <c r="O563" s="256"/>
      <c r="P563" s="256"/>
      <c r="Q563" s="256"/>
      <c r="R563" s="256"/>
      <c r="S563" s="208"/>
      <c r="T563" s="256"/>
      <c r="U563" s="256"/>
      <c r="V563" s="256"/>
      <c r="W563" s="256"/>
      <c r="X563" s="237"/>
      <c r="Y563" s="256"/>
      <c r="Z563" s="256"/>
      <c r="AA563" s="256"/>
      <c r="AB563" s="256"/>
      <c r="AC563" s="256"/>
      <c r="AD563" s="256"/>
      <c r="AE563" s="256"/>
      <c r="AF563" s="256"/>
      <c r="AG563" s="256"/>
      <c r="AH563" s="256"/>
      <c r="AI563" s="256"/>
      <c r="AJ563" s="256"/>
      <c r="AK563" s="237"/>
      <c r="AL563" s="56"/>
      <c r="AM563" s="56"/>
      <c r="AN563" s="56"/>
      <c r="AO563" s="56"/>
      <c r="AP563" s="56"/>
      <c r="AQ563" s="56"/>
      <c r="AR563" s="56"/>
      <c r="AS563" s="56"/>
      <c r="AT563" s="56"/>
      <c r="AU563" s="56"/>
      <c r="AV563" s="56"/>
      <c r="AW563" s="56"/>
      <c r="AX563" s="56"/>
      <c r="AY563" s="208"/>
      <c r="AZ563" s="211"/>
    </row>
    <row r="564" ht="18" customHeight="1" hidden="1">
      <c r="A564" s="207"/>
      <c r="B564" s="208"/>
      <c r="C564" s="56"/>
      <c r="D564" s="56"/>
      <c r="E564" s="56"/>
      <c r="F564" s="56"/>
      <c r="G564" s="56"/>
      <c r="H564" s="56"/>
      <c r="I564" s="56"/>
      <c r="J564" s="56"/>
      <c r="K564" s="56"/>
      <c r="L564" s="256"/>
      <c r="M564" s="256"/>
      <c r="N564" s="256"/>
      <c r="O564" s="256"/>
      <c r="P564" s="256"/>
      <c r="Q564" s="256"/>
      <c r="R564" s="256"/>
      <c r="S564" s="208"/>
      <c r="T564" s="256"/>
      <c r="U564" s="256"/>
      <c r="V564" s="256"/>
      <c r="W564" s="256"/>
      <c r="X564" s="237"/>
      <c r="Y564" s="256"/>
      <c r="Z564" s="256"/>
      <c r="AA564" s="256"/>
      <c r="AB564" s="256"/>
      <c r="AC564" s="256"/>
      <c r="AD564" s="256"/>
      <c r="AE564" s="256"/>
      <c r="AF564" s="256"/>
      <c r="AG564" s="256"/>
      <c r="AH564" s="256"/>
      <c r="AI564" s="256"/>
      <c r="AJ564" s="256"/>
      <c r="AK564" s="237"/>
      <c r="AL564" s="56"/>
      <c r="AM564" s="56"/>
      <c r="AN564" s="56"/>
      <c r="AO564" s="56"/>
      <c r="AP564" s="56"/>
      <c r="AQ564" s="56"/>
      <c r="AR564" s="56"/>
      <c r="AS564" s="56"/>
      <c r="AT564" s="56"/>
      <c r="AU564" s="56"/>
      <c r="AV564" s="56"/>
      <c r="AW564" s="56"/>
      <c r="AX564" s="56"/>
      <c r="AY564" s="208"/>
      <c r="AZ564" s="211"/>
    </row>
    <row r="565" ht="18" customHeight="1" hidden="1">
      <c r="A565" s="207"/>
      <c r="B565" s="208"/>
      <c r="C565" s="56"/>
      <c r="D565" s="56"/>
      <c r="E565" s="56"/>
      <c r="F565" s="56"/>
      <c r="G565" s="56"/>
      <c r="H565" s="56"/>
      <c r="I565" s="56"/>
      <c r="J565" s="56"/>
      <c r="K565" s="56"/>
      <c r="L565" s="256"/>
      <c r="M565" s="256"/>
      <c r="N565" s="256"/>
      <c r="O565" s="256"/>
      <c r="P565" s="256"/>
      <c r="Q565" s="256"/>
      <c r="R565" s="256"/>
      <c r="S565" s="208"/>
      <c r="T565" s="256"/>
      <c r="U565" s="256"/>
      <c r="V565" s="256"/>
      <c r="W565" s="256"/>
      <c r="X565" s="237"/>
      <c r="Y565" s="256"/>
      <c r="Z565" s="256"/>
      <c r="AA565" s="256"/>
      <c r="AB565" s="256"/>
      <c r="AC565" s="256"/>
      <c r="AD565" s="256"/>
      <c r="AE565" s="256"/>
      <c r="AF565" s="256"/>
      <c r="AG565" s="256"/>
      <c r="AH565" s="256"/>
      <c r="AI565" s="256"/>
      <c r="AJ565" s="256"/>
      <c r="AK565" s="237"/>
      <c r="AL565" s="56"/>
      <c r="AM565" s="56"/>
      <c r="AN565" s="56"/>
      <c r="AO565" s="56"/>
      <c r="AP565" s="56"/>
      <c r="AQ565" s="56"/>
      <c r="AR565" s="56"/>
      <c r="AS565" s="56"/>
      <c r="AT565" s="56"/>
      <c r="AU565" s="56"/>
      <c r="AV565" s="56"/>
      <c r="AW565" s="56"/>
      <c r="AX565" s="56"/>
      <c r="AY565" s="208"/>
      <c r="AZ565" s="211"/>
    </row>
    <row r="566" ht="18" customHeight="1" hidden="1">
      <c r="A566" s="207"/>
      <c r="B566" s="208"/>
      <c r="C566" s="56"/>
      <c r="D566" s="56"/>
      <c r="E566" s="56"/>
      <c r="F566" s="56"/>
      <c r="G566" s="56"/>
      <c r="H566" s="56"/>
      <c r="I566" s="56"/>
      <c r="J566" s="56"/>
      <c r="K566" s="56"/>
      <c r="L566" s="256"/>
      <c r="M566" s="256"/>
      <c r="N566" s="256"/>
      <c r="O566" s="256"/>
      <c r="P566" s="256"/>
      <c r="Q566" s="256"/>
      <c r="R566" s="256"/>
      <c r="S566" s="208"/>
      <c r="T566" s="256"/>
      <c r="U566" s="256"/>
      <c r="V566" s="256"/>
      <c r="W566" s="256"/>
      <c r="X566" s="237"/>
      <c r="Y566" s="256"/>
      <c r="Z566" s="256"/>
      <c r="AA566" s="256"/>
      <c r="AB566" s="256"/>
      <c r="AC566" s="256"/>
      <c r="AD566" s="256"/>
      <c r="AE566" s="256"/>
      <c r="AF566" s="256"/>
      <c r="AG566" s="256"/>
      <c r="AH566" s="256"/>
      <c r="AI566" s="256"/>
      <c r="AJ566" s="256"/>
      <c r="AK566" s="237"/>
      <c r="AL566" s="56"/>
      <c r="AM566" s="56"/>
      <c r="AN566" s="56"/>
      <c r="AO566" s="56"/>
      <c r="AP566" s="56"/>
      <c r="AQ566" s="56"/>
      <c r="AR566" s="56"/>
      <c r="AS566" s="56"/>
      <c r="AT566" s="56"/>
      <c r="AU566" s="56"/>
      <c r="AV566" s="56"/>
      <c r="AW566" s="56"/>
      <c r="AX566" s="56"/>
      <c r="AY566" s="208"/>
      <c r="AZ566" s="211"/>
    </row>
    <row r="567" ht="18" customHeight="1" hidden="1">
      <c r="A567" s="207"/>
      <c r="B567" s="208"/>
      <c r="C567" s="56"/>
      <c r="D567" s="56"/>
      <c r="E567" s="56"/>
      <c r="F567" s="56"/>
      <c r="G567" s="56"/>
      <c r="H567" s="56"/>
      <c r="I567" s="56"/>
      <c r="J567" s="56"/>
      <c r="K567" s="56"/>
      <c r="L567" s="256"/>
      <c r="M567" s="256"/>
      <c r="N567" s="256"/>
      <c r="O567" s="256"/>
      <c r="P567" s="256"/>
      <c r="Q567" s="256"/>
      <c r="R567" s="256"/>
      <c r="S567" s="208"/>
      <c r="T567" s="256"/>
      <c r="U567" s="256"/>
      <c r="V567" s="256"/>
      <c r="W567" s="256"/>
      <c r="X567" s="237"/>
      <c r="Y567" s="256"/>
      <c r="Z567" s="256"/>
      <c r="AA567" s="256"/>
      <c r="AB567" s="256"/>
      <c r="AC567" s="256"/>
      <c r="AD567" s="256"/>
      <c r="AE567" s="256"/>
      <c r="AF567" s="256"/>
      <c r="AG567" s="256"/>
      <c r="AH567" s="256"/>
      <c r="AI567" s="256"/>
      <c r="AJ567" s="256"/>
      <c r="AK567" s="237"/>
      <c r="AL567" s="56"/>
      <c r="AM567" s="56"/>
      <c r="AN567" s="56"/>
      <c r="AO567" s="56"/>
      <c r="AP567" s="56"/>
      <c r="AQ567" s="56"/>
      <c r="AR567" s="56"/>
      <c r="AS567" s="56"/>
      <c r="AT567" s="56"/>
      <c r="AU567" s="56"/>
      <c r="AV567" s="56"/>
      <c r="AW567" s="56"/>
      <c r="AX567" s="56"/>
      <c r="AY567" s="208"/>
      <c r="AZ567" s="211"/>
    </row>
    <row r="568" ht="18" customHeight="1" hidden="1">
      <c r="A568" s="207"/>
      <c r="B568" s="208"/>
      <c r="C568" s="56"/>
      <c r="D568" s="56"/>
      <c r="E568" s="56"/>
      <c r="F568" s="56"/>
      <c r="G568" s="56"/>
      <c r="H568" s="56"/>
      <c r="I568" s="56"/>
      <c r="J568" s="56"/>
      <c r="K568" s="56"/>
      <c r="L568" s="256"/>
      <c r="M568" s="256"/>
      <c r="N568" s="256"/>
      <c r="O568" s="256"/>
      <c r="P568" s="256"/>
      <c r="Q568" s="256"/>
      <c r="R568" s="256"/>
      <c r="S568" s="208"/>
      <c r="T568" s="256"/>
      <c r="U568" s="256"/>
      <c r="V568" s="256"/>
      <c r="W568" s="256"/>
      <c r="X568" s="237"/>
      <c r="Y568" s="256"/>
      <c r="Z568" s="256"/>
      <c r="AA568" s="256"/>
      <c r="AB568" s="256"/>
      <c r="AC568" s="256"/>
      <c r="AD568" s="256"/>
      <c r="AE568" s="256"/>
      <c r="AF568" s="256"/>
      <c r="AG568" s="256"/>
      <c r="AH568" s="256"/>
      <c r="AI568" s="256"/>
      <c r="AJ568" s="256"/>
      <c r="AK568" s="237"/>
      <c r="AL568" s="56"/>
      <c r="AM568" s="56"/>
      <c r="AN568" s="56"/>
      <c r="AO568" s="56"/>
      <c r="AP568" s="56"/>
      <c r="AQ568" s="56"/>
      <c r="AR568" s="56"/>
      <c r="AS568" s="56"/>
      <c r="AT568" s="56"/>
      <c r="AU568" s="56"/>
      <c r="AV568" s="56"/>
      <c r="AW568" s="56"/>
      <c r="AX568" s="56"/>
      <c r="AY568" s="208"/>
      <c r="AZ568" s="211"/>
    </row>
    <row r="569" ht="18" customHeight="1" hidden="1">
      <c r="A569" s="207"/>
      <c r="B569" s="208"/>
      <c r="C569" s="56"/>
      <c r="D569" s="56"/>
      <c r="E569" s="56"/>
      <c r="F569" s="56"/>
      <c r="G569" s="56"/>
      <c r="H569" s="56"/>
      <c r="I569" s="56"/>
      <c r="J569" s="56"/>
      <c r="K569" s="56"/>
      <c r="L569" s="256"/>
      <c r="M569" s="256"/>
      <c r="N569" s="256"/>
      <c r="O569" s="256"/>
      <c r="P569" s="256"/>
      <c r="Q569" s="256"/>
      <c r="R569" s="256"/>
      <c r="S569" s="208"/>
      <c r="T569" s="256"/>
      <c r="U569" s="256"/>
      <c r="V569" s="256"/>
      <c r="W569" s="256"/>
      <c r="X569" s="237"/>
      <c r="Y569" s="256"/>
      <c r="Z569" s="256"/>
      <c r="AA569" s="256"/>
      <c r="AB569" s="256"/>
      <c r="AC569" s="256"/>
      <c r="AD569" s="256"/>
      <c r="AE569" s="256"/>
      <c r="AF569" s="256"/>
      <c r="AG569" s="256"/>
      <c r="AH569" s="256"/>
      <c r="AI569" s="256"/>
      <c r="AJ569" s="256"/>
      <c r="AK569" s="237"/>
      <c r="AL569" s="56"/>
      <c r="AM569" s="56"/>
      <c r="AN569" s="56"/>
      <c r="AO569" s="56"/>
      <c r="AP569" s="56"/>
      <c r="AQ569" s="56"/>
      <c r="AR569" s="56"/>
      <c r="AS569" s="56"/>
      <c r="AT569" s="56"/>
      <c r="AU569" s="56"/>
      <c r="AV569" s="56"/>
      <c r="AW569" s="56"/>
      <c r="AX569" s="56"/>
      <c r="AY569" s="208"/>
      <c r="AZ569" s="211"/>
    </row>
    <row r="570" ht="18" customHeight="1" hidden="1">
      <c r="A570" s="207"/>
      <c r="B570" s="208"/>
      <c r="C570" s="56"/>
      <c r="D570" s="56"/>
      <c r="E570" s="56"/>
      <c r="F570" s="56"/>
      <c r="G570" s="56"/>
      <c r="H570" s="56"/>
      <c r="I570" s="56"/>
      <c r="J570" s="56"/>
      <c r="K570" s="56"/>
      <c r="L570" s="256"/>
      <c r="M570" s="256"/>
      <c r="N570" s="256"/>
      <c r="O570" s="256"/>
      <c r="P570" s="256"/>
      <c r="Q570" s="256"/>
      <c r="R570" s="256"/>
      <c r="S570" s="208"/>
      <c r="T570" s="256"/>
      <c r="U570" s="256"/>
      <c r="V570" s="256"/>
      <c r="W570" s="256"/>
      <c r="X570" s="237"/>
      <c r="Y570" s="256"/>
      <c r="Z570" s="256"/>
      <c r="AA570" s="256"/>
      <c r="AB570" s="256"/>
      <c r="AC570" s="256"/>
      <c r="AD570" s="256"/>
      <c r="AE570" s="256"/>
      <c r="AF570" s="256"/>
      <c r="AG570" s="256"/>
      <c r="AH570" s="256"/>
      <c r="AI570" s="256"/>
      <c r="AJ570" s="256"/>
      <c r="AK570" s="237"/>
      <c r="AL570" s="56"/>
      <c r="AM570" s="56"/>
      <c r="AN570" s="56"/>
      <c r="AO570" s="56"/>
      <c r="AP570" s="56"/>
      <c r="AQ570" s="56"/>
      <c r="AR570" s="56"/>
      <c r="AS570" s="56"/>
      <c r="AT570" s="56"/>
      <c r="AU570" s="56"/>
      <c r="AV570" s="56"/>
      <c r="AW570" s="56"/>
      <c r="AX570" s="56"/>
      <c r="AY570" s="208"/>
      <c r="AZ570" s="211"/>
    </row>
    <row r="571" ht="18" customHeight="1" hidden="1">
      <c r="A571" s="207"/>
      <c r="B571" s="208"/>
      <c r="C571" s="56"/>
      <c r="D571" s="56"/>
      <c r="E571" s="56"/>
      <c r="F571" s="56"/>
      <c r="G571" s="56"/>
      <c r="H571" s="56"/>
      <c r="I571" s="56"/>
      <c r="J571" s="56"/>
      <c r="K571" s="56"/>
      <c r="L571" s="256"/>
      <c r="M571" s="256"/>
      <c r="N571" s="256"/>
      <c r="O571" s="256"/>
      <c r="P571" s="256"/>
      <c r="Q571" s="256"/>
      <c r="R571" s="256"/>
      <c r="S571" s="208"/>
      <c r="T571" s="256"/>
      <c r="U571" s="256"/>
      <c r="V571" s="256"/>
      <c r="W571" s="256"/>
      <c r="X571" s="237"/>
      <c r="Y571" s="256"/>
      <c r="Z571" s="256"/>
      <c r="AA571" s="256"/>
      <c r="AB571" s="256"/>
      <c r="AC571" s="256"/>
      <c r="AD571" s="256"/>
      <c r="AE571" s="256"/>
      <c r="AF571" s="256"/>
      <c r="AG571" s="256"/>
      <c r="AH571" s="256"/>
      <c r="AI571" s="256"/>
      <c r="AJ571" s="256"/>
      <c r="AK571" s="237"/>
      <c r="AL571" s="56"/>
      <c r="AM571" s="56"/>
      <c r="AN571" s="56"/>
      <c r="AO571" s="56"/>
      <c r="AP571" s="56"/>
      <c r="AQ571" s="56"/>
      <c r="AR571" s="56"/>
      <c r="AS571" s="56"/>
      <c r="AT571" s="56"/>
      <c r="AU571" s="56"/>
      <c r="AV571" s="56"/>
      <c r="AW571" s="56"/>
      <c r="AX571" s="56"/>
      <c r="AY571" s="208"/>
      <c r="AZ571" s="211"/>
    </row>
    <row r="572" ht="18" customHeight="1" hidden="1">
      <c r="A572" s="207"/>
      <c r="B572" s="208"/>
      <c r="C572" s="56"/>
      <c r="D572" s="56"/>
      <c r="E572" s="56"/>
      <c r="F572" s="56"/>
      <c r="G572" s="56"/>
      <c r="H572" s="56"/>
      <c r="I572" s="56"/>
      <c r="J572" s="56"/>
      <c r="K572" s="56"/>
      <c r="L572" s="256"/>
      <c r="M572" s="256"/>
      <c r="N572" s="256"/>
      <c r="O572" s="256"/>
      <c r="P572" s="256"/>
      <c r="Q572" s="256"/>
      <c r="R572" s="256"/>
      <c r="S572" s="208"/>
      <c r="T572" s="256"/>
      <c r="U572" s="256"/>
      <c r="V572" s="256"/>
      <c r="W572" s="256"/>
      <c r="X572" s="237"/>
      <c r="Y572" s="256"/>
      <c r="Z572" s="256"/>
      <c r="AA572" s="256"/>
      <c r="AB572" s="256"/>
      <c r="AC572" s="256"/>
      <c r="AD572" s="256"/>
      <c r="AE572" s="256"/>
      <c r="AF572" s="256"/>
      <c r="AG572" s="256"/>
      <c r="AH572" s="256"/>
      <c r="AI572" s="256"/>
      <c r="AJ572" s="256"/>
      <c r="AK572" s="237"/>
      <c r="AL572" s="56"/>
      <c r="AM572" s="56"/>
      <c r="AN572" s="56"/>
      <c r="AO572" s="56"/>
      <c r="AP572" s="56"/>
      <c r="AQ572" s="56"/>
      <c r="AR572" s="56"/>
      <c r="AS572" s="56"/>
      <c r="AT572" s="56"/>
      <c r="AU572" s="56"/>
      <c r="AV572" s="56"/>
      <c r="AW572" s="56"/>
      <c r="AX572" s="56"/>
      <c r="AY572" s="208"/>
      <c r="AZ572" s="211"/>
    </row>
    <row r="573" ht="18" customHeight="1" hidden="1">
      <c r="A573" s="207"/>
      <c r="B573" s="208"/>
      <c r="C573" s="56"/>
      <c r="D573" s="56"/>
      <c r="E573" s="56"/>
      <c r="F573" s="56"/>
      <c r="G573" s="56"/>
      <c r="H573" s="56"/>
      <c r="I573" s="56"/>
      <c r="J573" s="56"/>
      <c r="K573" s="56"/>
      <c r="L573" s="256"/>
      <c r="M573" s="256"/>
      <c r="N573" s="256"/>
      <c r="O573" s="256"/>
      <c r="P573" s="256"/>
      <c r="Q573" s="256"/>
      <c r="R573" s="256"/>
      <c r="S573" s="208"/>
      <c r="T573" s="256"/>
      <c r="U573" s="256"/>
      <c r="V573" s="256"/>
      <c r="W573" s="256"/>
      <c r="X573" s="237"/>
      <c r="Y573" s="256"/>
      <c r="Z573" s="256"/>
      <c r="AA573" s="256"/>
      <c r="AB573" s="256"/>
      <c r="AC573" s="256"/>
      <c r="AD573" s="256"/>
      <c r="AE573" s="256"/>
      <c r="AF573" s="256"/>
      <c r="AG573" s="256"/>
      <c r="AH573" s="256"/>
      <c r="AI573" s="256"/>
      <c r="AJ573" s="256"/>
      <c r="AK573" s="237"/>
      <c r="AL573" s="56"/>
      <c r="AM573" s="56"/>
      <c r="AN573" s="56"/>
      <c r="AO573" s="56"/>
      <c r="AP573" s="56"/>
      <c r="AQ573" s="56"/>
      <c r="AR573" s="56"/>
      <c r="AS573" s="56"/>
      <c r="AT573" s="56"/>
      <c r="AU573" s="56"/>
      <c r="AV573" s="56"/>
      <c r="AW573" s="56"/>
      <c r="AX573" s="56"/>
      <c r="AY573" s="208"/>
      <c r="AZ573" s="211"/>
    </row>
    <row r="574" ht="18" customHeight="1" hidden="1">
      <c r="A574" s="207"/>
      <c r="B574" s="208"/>
      <c r="C574" s="56"/>
      <c r="D574" s="56"/>
      <c r="E574" s="56"/>
      <c r="F574" s="56"/>
      <c r="G574" s="56"/>
      <c r="H574" s="56"/>
      <c r="I574" s="56"/>
      <c r="J574" s="56"/>
      <c r="K574" s="56"/>
      <c r="L574" s="256"/>
      <c r="M574" s="256"/>
      <c r="N574" s="256"/>
      <c r="O574" s="256"/>
      <c r="P574" s="256"/>
      <c r="Q574" s="256"/>
      <c r="R574" s="256"/>
      <c r="S574" s="208"/>
      <c r="T574" s="256"/>
      <c r="U574" s="256"/>
      <c r="V574" s="256"/>
      <c r="W574" s="256"/>
      <c r="X574" s="237"/>
      <c r="Y574" s="256"/>
      <c r="Z574" s="256"/>
      <c r="AA574" s="256"/>
      <c r="AB574" s="256"/>
      <c r="AC574" s="256"/>
      <c r="AD574" s="256"/>
      <c r="AE574" s="256"/>
      <c r="AF574" s="256"/>
      <c r="AG574" s="256"/>
      <c r="AH574" s="256"/>
      <c r="AI574" s="256"/>
      <c r="AJ574" s="256"/>
      <c r="AK574" s="237"/>
      <c r="AL574" s="56"/>
      <c r="AM574" s="56"/>
      <c r="AN574" s="56"/>
      <c r="AO574" s="56"/>
      <c r="AP574" s="56"/>
      <c r="AQ574" s="56"/>
      <c r="AR574" s="56"/>
      <c r="AS574" s="56"/>
      <c r="AT574" s="56"/>
      <c r="AU574" s="56"/>
      <c r="AV574" s="56"/>
      <c r="AW574" s="56"/>
      <c r="AX574" s="56"/>
      <c r="AY574" s="208"/>
      <c r="AZ574" s="211"/>
    </row>
    <row r="575" ht="18" customHeight="1" hidden="1">
      <c r="A575" s="207"/>
      <c r="B575" s="208"/>
      <c r="C575" s="56"/>
      <c r="D575" s="56"/>
      <c r="E575" s="56"/>
      <c r="F575" s="56"/>
      <c r="G575" s="56"/>
      <c r="H575" s="56"/>
      <c r="I575" s="56"/>
      <c r="J575" s="56"/>
      <c r="K575" s="56"/>
      <c r="L575" s="256"/>
      <c r="M575" s="256"/>
      <c r="N575" s="256"/>
      <c r="O575" s="256"/>
      <c r="P575" s="256"/>
      <c r="Q575" s="256"/>
      <c r="R575" s="256"/>
      <c r="S575" s="208"/>
      <c r="T575" s="256"/>
      <c r="U575" s="256"/>
      <c r="V575" s="256"/>
      <c r="W575" s="256"/>
      <c r="X575" s="237"/>
      <c r="Y575" s="256"/>
      <c r="Z575" s="256"/>
      <c r="AA575" s="256"/>
      <c r="AB575" s="256"/>
      <c r="AC575" s="256"/>
      <c r="AD575" s="256"/>
      <c r="AE575" s="256"/>
      <c r="AF575" s="256"/>
      <c r="AG575" s="256"/>
      <c r="AH575" s="256"/>
      <c r="AI575" s="256"/>
      <c r="AJ575" s="256"/>
      <c r="AK575" s="237"/>
      <c r="AL575" s="56"/>
      <c r="AM575" s="56"/>
      <c r="AN575" s="56"/>
      <c r="AO575" s="56"/>
      <c r="AP575" s="56"/>
      <c r="AQ575" s="56"/>
      <c r="AR575" s="56"/>
      <c r="AS575" s="56"/>
      <c r="AT575" s="56"/>
      <c r="AU575" s="56"/>
      <c r="AV575" s="56"/>
      <c r="AW575" s="56"/>
      <c r="AX575" s="56"/>
      <c r="AY575" s="208"/>
      <c r="AZ575" s="211"/>
    </row>
    <row r="576" ht="18" customHeight="1" hidden="1">
      <c r="A576" s="207"/>
      <c r="B576" s="208"/>
      <c r="C576" s="56"/>
      <c r="D576" s="56"/>
      <c r="E576" s="56"/>
      <c r="F576" s="56"/>
      <c r="G576" s="56"/>
      <c r="H576" s="56"/>
      <c r="I576" s="56"/>
      <c r="J576" s="56"/>
      <c r="K576" s="56"/>
      <c r="L576" s="256"/>
      <c r="M576" s="256"/>
      <c r="N576" s="256"/>
      <c r="O576" s="256"/>
      <c r="P576" s="256"/>
      <c r="Q576" s="256"/>
      <c r="R576" s="256"/>
      <c r="S576" s="208"/>
      <c r="T576" s="256"/>
      <c r="U576" s="256"/>
      <c r="V576" s="256"/>
      <c r="W576" s="256"/>
      <c r="X576" s="237"/>
      <c r="Y576" s="256"/>
      <c r="Z576" s="256"/>
      <c r="AA576" s="256"/>
      <c r="AB576" s="256"/>
      <c r="AC576" s="256"/>
      <c r="AD576" s="256"/>
      <c r="AE576" s="256"/>
      <c r="AF576" s="256"/>
      <c r="AG576" s="256"/>
      <c r="AH576" s="256"/>
      <c r="AI576" s="256"/>
      <c r="AJ576" s="256"/>
      <c r="AK576" s="237"/>
      <c r="AL576" s="56"/>
      <c r="AM576" s="56"/>
      <c r="AN576" s="56"/>
      <c r="AO576" s="56"/>
      <c r="AP576" s="56"/>
      <c r="AQ576" s="56"/>
      <c r="AR576" s="56"/>
      <c r="AS576" s="56"/>
      <c r="AT576" s="56"/>
      <c r="AU576" s="56"/>
      <c r="AV576" s="56"/>
      <c r="AW576" s="56"/>
      <c r="AX576" s="56"/>
      <c r="AY576" s="208"/>
      <c r="AZ576" s="211"/>
    </row>
    <row r="577" ht="18" customHeight="1" hidden="1">
      <c r="A577" s="207"/>
      <c r="B577" s="208"/>
      <c r="C577" s="56"/>
      <c r="D577" s="56"/>
      <c r="E577" s="56"/>
      <c r="F577" s="56"/>
      <c r="G577" s="56"/>
      <c r="H577" s="56"/>
      <c r="I577" s="56"/>
      <c r="J577" s="56"/>
      <c r="K577" s="56"/>
      <c r="L577" s="256"/>
      <c r="M577" s="256"/>
      <c r="N577" s="256"/>
      <c r="O577" s="256"/>
      <c r="P577" s="256"/>
      <c r="Q577" s="256"/>
      <c r="R577" s="256"/>
      <c r="S577" s="208"/>
      <c r="T577" s="256"/>
      <c r="U577" s="256"/>
      <c r="V577" s="256"/>
      <c r="W577" s="256"/>
      <c r="X577" s="237"/>
      <c r="Y577" s="256"/>
      <c r="Z577" s="256"/>
      <c r="AA577" s="256"/>
      <c r="AB577" s="256"/>
      <c r="AC577" s="256"/>
      <c r="AD577" s="256"/>
      <c r="AE577" s="256"/>
      <c r="AF577" s="256"/>
      <c r="AG577" s="256"/>
      <c r="AH577" s="256"/>
      <c r="AI577" s="256"/>
      <c r="AJ577" s="256"/>
      <c r="AK577" s="237"/>
      <c r="AL577" s="56"/>
      <c r="AM577" s="56"/>
      <c r="AN577" s="56"/>
      <c r="AO577" s="56"/>
      <c r="AP577" s="56"/>
      <c r="AQ577" s="56"/>
      <c r="AR577" s="56"/>
      <c r="AS577" s="56"/>
      <c r="AT577" s="56"/>
      <c r="AU577" s="56"/>
      <c r="AV577" s="56"/>
      <c r="AW577" s="56"/>
      <c r="AX577" s="56"/>
      <c r="AY577" s="208"/>
      <c r="AZ577" s="211"/>
    </row>
    <row r="578" ht="18" customHeight="1" hidden="1">
      <c r="A578" s="207"/>
      <c r="B578" s="208"/>
      <c r="C578" s="56"/>
      <c r="D578" s="56"/>
      <c r="E578" s="56"/>
      <c r="F578" s="56"/>
      <c r="G578" s="56"/>
      <c r="H578" s="56"/>
      <c r="I578" s="56"/>
      <c r="J578" s="56"/>
      <c r="K578" s="56"/>
      <c r="L578" s="256"/>
      <c r="M578" s="256"/>
      <c r="N578" s="256"/>
      <c r="O578" s="256"/>
      <c r="P578" s="256"/>
      <c r="Q578" s="256"/>
      <c r="R578" s="256"/>
      <c r="S578" s="208"/>
      <c r="T578" s="256"/>
      <c r="U578" s="256"/>
      <c r="V578" s="256"/>
      <c r="W578" s="256"/>
      <c r="X578" s="237"/>
      <c r="Y578" s="256"/>
      <c r="Z578" s="256"/>
      <c r="AA578" s="256"/>
      <c r="AB578" s="256"/>
      <c r="AC578" s="256"/>
      <c r="AD578" s="256"/>
      <c r="AE578" s="256"/>
      <c r="AF578" s="256"/>
      <c r="AG578" s="256"/>
      <c r="AH578" s="256"/>
      <c r="AI578" s="256"/>
      <c r="AJ578" s="256"/>
      <c r="AK578" s="237"/>
      <c r="AL578" s="56"/>
      <c r="AM578" s="56"/>
      <c r="AN578" s="56"/>
      <c r="AO578" s="56"/>
      <c r="AP578" s="56"/>
      <c r="AQ578" s="56"/>
      <c r="AR578" s="56"/>
      <c r="AS578" s="56"/>
      <c r="AT578" s="56"/>
      <c r="AU578" s="56"/>
      <c r="AV578" s="56"/>
      <c r="AW578" s="56"/>
      <c r="AX578" s="56"/>
      <c r="AY578" s="208"/>
      <c r="AZ578" s="211"/>
    </row>
    <row r="579" ht="18" customHeight="1" hidden="1">
      <c r="A579" s="207"/>
      <c r="B579" s="208"/>
      <c r="C579" s="56"/>
      <c r="D579" s="56"/>
      <c r="E579" s="56"/>
      <c r="F579" s="56"/>
      <c r="G579" s="56"/>
      <c r="H579" s="56"/>
      <c r="I579" s="56"/>
      <c r="J579" s="56"/>
      <c r="K579" s="56"/>
      <c r="L579" s="256"/>
      <c r="M579" s="256"/>
      <c r="N579" s="256"/>
      <c r="O579" s="256"/>
      <c r="P579" s="256"/>
      <c r="Q579" s="256"/>
      <c r="R579" s="256"/>
      <c r="S579" s="208"/>
      <c r="T579" s="256"/>
      <c r="U579" s="256"/>
      <c r="V579" s="256"/>
      <c r="W579" s="256"/>
      <c r="X579" s="237"/>
      <c r="Y579" s="256"/>
      <c r="Z579" s="256"/>
      <c r="AA579" s="256"/>
      <c r="AB579" s="256"/>
      <c r="AC579" s="256"/>
      <c r="AD579" s="256"/>
      <c r="AE579" s="256"/>
      <c r="AF579" s="256"/>
      <c r="AG579" s="256"/>
      <c r="AH579" s="256"/>
      <c r="AI579" s="256"/>
      <c r="AJ579" s="256"/>
      <c r="AK579" s="237"/>
      <c r="AL579" s="56"/>
      <c r="AM579" s="56"/>
      <c r="AN579" s="56"/>
      <c r="AO579" s="56"/>
      <c r="AP579" s="56"/>
      <c r="AQ579" s="56"/>
      <c r="AR579" s="56"/>
      <c r="AS579" s="56"/>
      <c r="AT579" s="56"/>
      <c r="AU579" s="56"/>
      <c r="AV579" s="56"/>
      <c r="AW579" s="56"/>
      <c r="AX579" s="56"/>
      <c r="AY579" s="208"/>
      <c r="AZ579" s="211"/>
    </row>
    <row r="580" ht="18" customHeight="1" hidden="1">
      <c r="A580" s="207"/>
      <c r="B580" s="208"/>
      <c r="C580" s="56"/>
      <c r="D580" s="56"/>
      <c r="E580" s="56"/>
      <c r="F580" s="56"/>
      <c r="G580" s="56"/>
      <c r="H580" s="56"/>
      <c r="I580" s="56"/>
      <c r="J580" s="56"/>
      <c r="K580" s="56"/>
      <c r="L580" s="256"/>
      <c r="M580" s="256"/>
      <c r="N580" s="256"/>
      <c r="O580" s="256"/>
      <c r="P580" s="256"/>
      <c r="Q580" s="256"/>
      <c r="R580" s="256"/>
      <c r="S580" s="208"/>
      <c r="T580" s="256"/>
      <c r="U580" s="256"/>
      <c r="V580" s="256"/>
      <c r="W580" s="256"/>
      <c r="X580" s="237"/>
      <c r="Y580" s="256"/>
      <c r="Z580" s="256"/>
      <c r="AA580" s="256"/>
      <c r="AB580" s="256"/>
      <c r="AC580" s="256"/>
      <c r="AD580" s="256"/>
      <c r="AE580" s="256"/>
      <c r="AF580" s="256"/>
      <c r="AG580" s="256"/>
      <c r="AH580" s="256"/>
      <c r="AI580" s="256"/>
      <c r="AJ580" s="256"/>
      <c r="AK580" s="237"/>
      <c r="AL580" s="56"/>
      <c r="AM580" s="56"/>
      <c r="AN580" s="56"/>
      <c r="AO580" s="56"/>
      <c r="AP580" s="56"/>
      <c r="AQ580" s="56"/>
      <c r="AR580" s="56"/>
      <c r="AS580" s="56"/>
      <c r="AT580" s="56"/>
      <c r="AU580" s="56"/>
      <c r="AV580" s="56"/>
      <c r="AW580" s="56"/>
      <c r="AX580" s="56"/>
      <c r="AY580" s="208"/>
      <c r="AZ580" s="211"/>
    </row>
    <row r="581" ht="18" customHeight="1" hidden="1">
      <c r="A581" s="207"/>
      <c r="B581" s="208"/>
      <c r="C581" s="56"/>
      <c r="D581" s="56"/>
      <c r="E581" s="56"/>
      <c r="F581" s="56"/>
      <c r="G581" s="56"/>
      <c r="H581" s="56"/>
      <c r="I581" s="56"/>
      <c r="J581" s="56"/>
      <c r="K581" s="56"/>
      <c r="L581" s="256"/>
      <c r="M581" s="256"/>
      <c r="N581" s="256"/>
      <c r="O581" s="256"/>
      <c r="P581" s="256"/>
      <c r="Q581" s="256"/>
      <c r="R581" s="256"/>
      <c r="S581" s="208"/>
      <c r="T581" s="256"/>
      <c r="U581" s="256"/>
      <c r="V581" s="256"/>
      <c r="W581" s="256"/>
      <c r="X581" s="237"/>
      <c r="Y581" s="256"/>
      <c r="Z581" s="256"/>
      <c r="AA581" s="256"/>
      <c r="AB581" s="256"/>
      <c r="AC581" s="256"/>
      <c r="AD581" s="256"/>
      <c r="AE581" s="256"/>
      <c r="AF581" s="256"/>
      <c r="AG581" s="256"/>
      <c r="AH581" s="256"/>
      <c r="AI581" s="256"/>
      <c r="AJ581" s="256"/>
      <c r="AK581" s="237"/>
      <c r="AL581" s="56"/>
      <c r="AM581" s="56"/>
      <c r="AN581" s="56"/>
      <c r="AO581" s="56"/>
      <c r="AP581" s="56"/>
      <c r="AQ581" s="56"/>
      <c r="AR581" s="56"/>
      <c r="AS581" s="56"/>
      <c r="AT581" s="56"/>
      <c r="AU581" s="56"/>
      <c r="AV581" s="56"/>
      <c r="AW581" s="56"/>
      <c r="AX581" s="56"/>
      <c r="AY581" s="208"/>
      <c r="AZ581" s="211"/>
    </row>
    <row r="582" ht="18" customHeight="1" hidden="1">
      <c r="A582" s="207"/>
      <c r="B582" s="208"/>
      <c r="C582" s="56"/>
      <c r="D582" s="56"/>
      <c r="E582" s="56"/>
      <c r="F582" s="56"/>
      <c r="G582" s="56"/>
      <c r="H582" s="56"/>
      <c r="I582" s="56"/>
      <c r="J582" s="56"/>
      <c r="K582" s="56"/>
      <c r="L582" s="256"/>
      <c r="M582" s="256"/>
      <c r="N582" s="256"/>
      <c r="O582" s="256"/>
      <c r="P582" s="256"/>
      <c r="Q582" s="256"/>
      <c r="R582" s="256"/>
      <c r="S582" s="208"/>
      <c r="T582" s="256"/>
      <c r="U582" s="256"/>
      <c r="V582" s="256"/>
      <c r="W582" s="256"/>
      <c r="X582" s="237"/>
      <c r="Y582" s="256"/>
      <c r="Z582" s="256"/>
      <c r="AA582" s="256"/>
      <c r="AB582" s="256"/>
      <c r="AC582" s="256"/>
      <c r="AD582" s="256"/>
      <c r="AE582" s="256"/>
      <c r="AF582" s="256"/>
      <c r="AG582" s="256"/>
      <c r="AH582" s="256"/>
      <c r="AI582" s="256"/>
      <c r="AJ582" s="256"/>
      <c r="AK582" s="237"/>
      <c r="AL582" s="56"/>
      <c r="AM582" s="56"/>
      <c r="AN582" s="56"/>
      <c r="AO582" s="56"/>
      <c r="AP582" s="56"/>
      <c r="AQ582" s="56"/>
      <c r="AR582" s="56"/>
      <c r="AS582" s="56"/>
      <c r="AT582" s="56"/>
      <c r="AU582" s="56"/>
      <c r="AV582" s="56"/>
      <c r="AW582" s="56"/>
      <c r="AX582" s="56"/>
      <c r="AY582" s="208"/>
      <c r="AZ582" s="211"/>
    </row>
    <row r="583" ht="18" customHeight="1" hidden="1">
      <c r="A583" s="207"/>
      <c r="B583" s="208"/>
      <c r="C583" s="56"/>
      <c r="D583" s="56"/>
      <c r="E583" s="56"/>
      <c r="F583" s="56"/>
      <c r="G583" s="56"/>
      <c r="H583" s="56"/>
      <c r="I583" s="56"/>
      <c r="J583" s="56"/>
      <c r="K583" s="56"/>
      <c r="L583" s="256"/>
      <c r="M583" s="256"/>
      <c r="N583" s="256"/>
      <c r="O583" s="256"/>
      <c r="P583" s="256"/>
      <c r="Q583" s="256"/>
      <c r="R583" s="256"/>
      <c r="S583" s="208"/>
      <c r="T583" s="256"/>
      <c r="U583" s="256"/>
      <c r="V583" s="256"/>
      <c r="W583" s="256"/>
      <c r="X583" s="237"/>
      <c r="Y583" s="256"/>
      <c r="Z583" s="256"/>
      <c r="AA583" s="256"/>
      <c r="AB583" s="256"/>
      <c r="AC583" s="256"/>
      <c r="AD583" s="256"/>
      <c r="AE583" s="256"/>
      <c r="AF583" s="256"/>
      <c r="AG583" s="256"/>
      <c r="AH583" s="256"/>
      <c r="AI583" s="256"/>
      <c r="AJ583" s="256"/>
      <c r="AK583" s="237"/>
      <c r="AL583" s="56"/>
      <c r="AM583" s="56"/>
      <c r="AN583" s="56"/>
      <c r="AO583" s="56"/>
      <c r="AP583" s="56"/>
      <c r="AQ583" s="56"/>
      <c r="AR583" s="56"/>
      <c r="AS583" s="56"/>
      <c r="AT583" s="56"/>
      <c r="AU583" s="56"/>
      <c r="AV583" s="56"/>
      <c r="AW583" s="56"/>
      <c r="AX583" s="56"/>
      <c r="AY583" s="208"/>
      <c r="AZ583" s="211"/>
    </row>
    <row r="584" ht="18" customHeight="1" hidden="1">
      <c r="A584" s="207"/>
      <c r="B584" s="208"/>
      <c r="C584" s="56"/>
      <c r="D584" s="56"/>
      <c r="E584" s="56"/>
      <c r="F584" s="56"/>
      <c r="G584" s="56"/>
      <c r="H584" s="56"/>
      <c r="I584" s="56"/>
      <c r="J584" s="56"/>
      <c r="K584" s="56"/>
      <c r="L584" s="256"/>
      <c r="M584" s="256"/>
      <c r="N584" s="256"/>
      <c r="O584" s="256"/>
      <c r="P584" s="256"/>
      <c r="Q584" s="256"/>
      <c r="R584" s="256"/>
      <c r="S584" s="208"/>
      <c r="T584" s="256"/>
      <c r="U584" s="256"/>
      <c r="V584" s="256"/>
      <c r="W584" s="256"/>
      <c r="X584" s="237"/>
      <c r="Y584" s="256"/>
      <c r="Z584" s="256"/>
      <c r="AA584" s="256"/>
      <c r="AB584" s="256"/>
      <c r="AC584" s="256"/>
      <c r="AD584" s="256"/>
      <c r="AE584" s="256"/>
      <c r="AF584" s="256"/>
      <c r="AG584" s="256"/>
      <c r="AH584" s="256"/>
      <c r="AI584" s="256"/>
      <c r="AJ584" s="256"/>
      <c r="AK584" s="237"/>
      <c r="AL584" s="56"/>
      <c r="AM584" s="56"/>
      <c r="AN584" s="56"/>
      <c r="AO584" s="56"/>
      <c r="AP584" s="56"/>
      <c r="AQ584" s="56"/>
      <c r="AR584" s="56"/>
      <c r="AS584" s="56"/>
      <c r="AT584" s="56"/>
      <c r="AU584" s="56"/>
      <c r="AV584" s="56"/>
      <c r="AW584" s="56"/>
      <c r="AX584" s="56"/>
      <c r="AY584" s="208"/>
      <c r="AZ584" s="211"/>
    </row>
    <row r="585" ht="18" customHeight="1" hidden="1">
      <c r="A585" s="207"/>
      <c r="B585" s="208"/>
      <c r="C585" s="56"/>
      <c r="D585" s="56"/>
      <c r="E585" s="56"/>
      <c r="F585" s="56"/>
      <c r="G585" s="56"/>
      <c r="H585" s="56"/>
      <c r="I585" s="56"/>
      <c r="J585" s="56"/>
      <c r="K585" s="56"/>
      <c r="L585" s="256"/>
      <c r="M585" s="256"/>
      <c r="N585" s="256"/>
      <c r="O585" s="256"/>
      <c r="P585" s="256"/>
      <c r="Q585" s="256"/>
      <c r="R585" s="256"/>
      <c r="S585" s="208"/>
      <c r="T585" s="256"/>
      <c r="U585" s="256"/>
      <c r="V585" s="256"/>
      <c r="W585" s="256"/>
      <c r="X585" s="237"/>
      <c r="Y585" s="256"/>
      <c r="Z585" s="256"/>
      <c r="AA585" s="256"/>
      <c r="AB585" s="256"/>
      <c r="AC585" s="256"/>
      <c r="AD585" s="256"/>
      <c r="AE585" s="256"/>
      <c r="AF585" s="256"/>
      <c r="AG585" s="256"/>
      <c r="AH585" s="256"/>
      <c r="AI585" s="256"/>
      <c r="AJ585" s="256"/>
      <c r="AK585" s="237"/>
      <c r="AL585" s="56"/>
      <c r="AM585" s="56"/>
      <c r="AN585" s="56"/>
      <c r="AO585" s="56"/>
      <c r="AP585" s="56"/>
      <c r="AQ585" s="56"/>
      <c r="AR585" s="56"/>
      <c r="AS585" s="56"/>
      <c r="AT585" s="56"/>
      <c r="AU585" s="56"/>
      <c r="AV585" s="56"/>
      <c r="AW585" s="56"/>
      <c r="AX585" s="56"/>
      <c r="AY585" s="208"/>
      <c r="AZ585" s="211"/>
    </row>
    <row r="586" ht="18" customHeight="1" hidden="1">
      <c r="A586" s="207"/>
      <c r="B586" s="208"/>
      <c r="C586" s="56"/>
      <c r="D586" s="56"/>
      <c r="E586" s="56"/>
      <c r="F586" s="56"/>
      <c r="G586" s="56"/>
      <c r="H586" s="56"/>
      <c r="I586" s="56"/>
      <c r="J586" s="56"/>
      <c r="K586" s="56"/>
      <c r="L586" s="256"/>
      <c r="M586" s="256"/>
      <c r="N586" s="256"/>
      <c r="O586" s="256"/>
      <c r="P586" s="256"/>
      <c r="Q586" s="256"/>
      <c r="R586" s="256"/>
      <c r="S586" s="208"/>
      <c r="T586" s="256"/>
      <c r="U586" s="256"/>
      <c r="V586" s="256"/>
      <c r="W586" s="256"/>
      <c r="X586" s="237"/>
      <c r="Y586" s="256"/>
      <c r="Z586" s="256"/>
      <c r="AA586" s="256"/>
      <c r="AB586" s="256"/>
      <c r="AC586" s="256"/>
      <c r="AD586" s="256"/>
      <c r="AE586" s="256"/>
      <c r="AF586" s="256"/>
      <c r="AG586" s="256"/>
      <c r="AH586" s="256"/>
      <c r="AI586" s="256"/>
      <c r="AJ586" s="256"/>
      <c r="AK586" s="237"/>
      <c r="AL586" s="56"/>
      <c r="AM586" s="56"/>
      <c r="AN586" s="56"/>
      <c r="AO586" s="56"/>
      <c r="AP586" s="56"/>
      <c r="AQ586" s="56"/>
      <c r="AR586" s="56"/>
      <c r="AS586" s="56"/>
      <c r="AT586" s="56"/>
      <c r="AU586" s="56"/>
      <c r="AV586" s="56"/>
      <c r="AW586" s="56"/>
      <c r="AX586" s="56"/>
      <c r="AY586" s="208"/>
      <c r="AZ586" s="211"/>
    </row>
    <row r="587" ht="18" customHeight="1" hidden="1">
      <c r="A587" s="207"/>
      <c r="B587" s="208"/>
      <c r="C587" s="56"/>
      <c r="D587" s="56"/>
      <c r="E587" s="56"/>
      <c r="F587" s="56"/>
      <c r="G587" s="56"/>
      <c r="H587" s="56"/>
      <c r="I587" s="56"/>
      <c r="J587" s="56"/>
      <c r="K587" s="56"/>
      <c r="L587" s="256"/>
      <c r="M587" s="256"/>
      <c r="N587" s="256"/>
      <c r="O587" s="256"/>
      <c r="P587" s="256"/>
      <c r="Q587" s="256"/>
      <c r="R587" s="256"/>
      <c r="S587" s="208"/>
      <c r="T587" s="256"/>
      <c r="U587" s="256"/>
      <c r="V587" s="256"/>
      <c r="W587" s="256"/>
      <c r="X587" s="237"/>
      <c r="Y587" s="256"/>
      <c r="Z587" s="256"/>
      <c r="AA587" s="256"/>
      <c r="AB587" s="256"/>
      <c r="AC587" s="256"/>
      <c r="AD587" s="256"/>
      <c r="AE587" s="256"/>
      <c r="AF587" s="256"/>
      <c r="AG587" s="256"/>
      <c r="AH587" s="256"/>
      <c r="AI587" s="256"/>
      <c r="AJ587" s="256"/>
      <c r="AK587" s="237"/>
      <c r="AL587" s="56"/>
      <c r="AM587" s="56"/>
      <c r="AN587" s="56"/>
      <c r="AO587" s="56"/>
      <c r="AP587" s="56"/>
      <c r="AQ587" s="56"/>
      <c r="AR587" s="56"/>
      <c r="AS587" s="56"/>
      <c r="AT587" s="56"/>
      <c r="AU587" s="56"/>
      <c r="AV587" s="56"/>
      <c r="AW587" s="56"/>
      <c r="AX587" s="56"/>
      <c r="AY587" s="208"/>
      <c r="AZ587" s="211"/>
    </row>
    <row r="588" ht="18" customHeight="1" hidden="1">
      <c r="A588" s="207"/>
      <c r="B588" s="208"/>
      <c r="C588" s="56"/>
      <c r="D588" s="56"/>
      <c r="E588" s="56"/>
      <c r="F588" s="56"/>
      <c r="G588" s="56"/>
      <c r="H588" s="56"/>
      <c r="I588" s="56"/>
      <c r="J588" s="56"/>
      <c r="K588" s="56"/>
      <c r="L588" s="256"/>
      <c r="M588" s="256"/>
      <c r="N588" s="256"/>
      <c r="O588" s="256"/>
      <c r="P588" s="256"/>
      <c r="Q588" s="256"/>
      <c r="R588" s="256"/>
      <c r="S588" s="208"/>
      <c r="T588" s="256"/>
      <c r="U588" s="256"/>
      <c r="V588" s="256"/>
      <c r="W588" s="256"/>
      <c r="X588" s="237"/>
      <c r="Y588" s="256"/>
      <c r="Z588" s="256"/>
      <c r="AA588" s="256"/>
      <c r="AB588" s="256"/>
      <c r="AC588" s="256"/>
      <c r="AD588" s="256"/>
      <c r="AE588" s="256"/>
      <c r="AF588" s="256"/>
      <c r="AG588" s="256"/>
      <c r="AH588" s="256"/>
      <c r="AI588" s="256"/>
      <c r="AJ588" s="256"/>
      <c r="AK588" s="237"/>
      <c r="AL588" s="56"/>
      <c r="AM588" s="56"/>
      <c r="AN588" s="56"/>
      <c r="AO588" s="56"/>
      <c r="AP588" s="56"/>
      <c r="AQ588" s="56"/>
      <c r="AR588" s="56"/>
      <c r="AS588" s="56"/>
      <c r="AT588" s="56"/>
      <c r="AU588" s="56"/>
      <c r="AV588" s="56"/>
      <c r="AW588" s="56"/>
      <c r="AX588" s="56"/>
      <c r="AY588" s="208"/>
      <c r="AZ588" s="211"/>
    </row>
    <row r="589" ht="18" customHeight="1" hidden="1">
      <c r="A589" s="207"/>
      <c r="B589" s="208"/>
      <c r="C589" s="56"/>
      <c r="D589" s="56"/>
      <c r="E589" s="56"/>
      <c r="F589" s="56"/>
      <c r="G589" s="56"/>
      <c r="H589" s="56"/>
      <c r="I589" s="56"/>
      <c r="J589" s="56"/>
      <c r="K589" s="56"/>
      <c r="L589" s="256"/>
      <c r="M589" s="256"/>
      <c r="N589" s="256"/>
      <c r="O589" s="256"/>
      <c r="P589" s="256"/>
      <c r="Q589" s="256"/>
      <c r="R589" s="256"/>
      <c r="S589" s="208"/>
      <c r="T589" s="256"/>
      <c r="U589" s="256"/>
      <c r="V589" s="256"/>
      <c r="W589" s="256"/>
      <c r="X589" s="237"/>
      <c r="Y589" s="256"/>
      <c r="Z589" s="256"/>
      <c r="AA589" s="256"/>
      <c r="AB589" s="256"/>
      <c r="AC589" s="256"/>
      <c r="AD589" s="256"/>
      <c r="AE589" s="256"/>
      <c r="AF589" s="256"/>
      <c r="AG589" s="256"/>
      <c r="AH589" s="256"/>
      <c r="AI589" s="256"/>
      <c r="AJ589" s="256"/>
      <c r="AK589" s="237"/>
      <c r="AL589" s="56"/>
      <c r="AM589" s="56"/>
      <c r="AN589" s="56"/>
      <c r="AO589" s="56"/>
      <c r="AP589" s="56"/>
      <c r="AQ589" s="56"/>
      <c r="AR589" s="56"/>
      <c r="AS589" s="56"/>
      <c r="AT589" s="56"/>
      <c r="AU589" s="56"/>
      <c r="AV589" s="56"/>
      <c r="AW589" s="56"/>
      <c r="AX589" s="56"/>
      <c r="AY589" s="208"/>
      <c r="AZ589" s="211"/>
    </row>
    <row r="590" ht="18" customHeight="1" hidden="1">
      <c r="A590" s="207"/>
      <c r="B590" s="208"/>
      <c r="C590" s="56"/>
      <c r="D590" s="56"/>
      <c r="E590" s="56"/>
      <c r="F590" s="56"/>
      <c r="G590" s="56"/>
      <c r="H590" s="56"/>
      <c r="I590" s="56"/>
      <c r="J590" s="56"/>
      <c r="K590" s="56"/>
      <c r="L590" s="256"/>
      <c r="M590" s="256"/>
      <c r="N590" s="256"/>
      <c r="O590" s="256"/>
      <c r="P590" s="256"/>
      <c r="Q590" s="256"/>
      <c r="R590" s="256"/>
      <c r="S590" s="208"/>
      <c r="T590" s="256"/>
      <c r="U590" s="256"/>
      <c r="V590" s="256"/>
      <c r="W590" s="256"/>
      <c r="X590" s="237"/>
      <c r="Y590" s="256"/>
      <c r="Z590" s="256"/>
      <c r="AA590" s="256"/>
      <c r="AB590" s="256"/>
      <c r="AC590" s="256"/>
      <c r="AD590" s="256"/>
      <c r="AE590" s="256"/>
      <c r="AF590" s="256"/>
      <c r="AG590" s="256"/>
      <c r="AH590" s="256"/>
      <c r="AI590" s="256"/>
      <c r="AJ590" s="256"/>
      <c r="AK590" s="237"/>
      <c r="AL590" s="56"/>
      <c r="AM590" s="56"/>
      <c r="AN590" s="56"/>
      <c r="AO590" s="56"/>
      <c r="AP590" s="56"/>
      <c r="AQ590" s="56"/>
      <c r="AR590" s="56"/>
      <c r="AS590" s="56"/>
      <c r="AT590" s="56"/>
      <c r="AU590" s="56"/>
      <c r="AV590" s="56"/>
      <c r="AW590" s="56"/>
      <c r="AX590" s="56"/>
      <c r="AY590" s="208"/>
      <c r="AZ590" s="211"/>
    </row>
    <row r="591" ht="18" customHeight="1" hidden="1">
      <c r="A591" s="207"/>
      <c r="B591" s="208"/>
      <c r="C591" s="56"/>
      <c r="D591" s="56"/>
      <c r="E591" s="56"/>
      <c r="F591" s="56"/>
      <c r="G591" s="56"/>
      <c r="H591" s="56"/>
      <c r="I591" s="56"/>
      <c r="J591" s="56"/>
      <c r="K591" s="56"/>
      <c r="L591" s="256"/>
      <c r="M591" s="256"/>
      <c r="N591" s="256"/>
      <c r="O591" s="256"/>
      <c r="P591" s="256"/>
      <c r="Q591" s="256"/>
      <c r="R591" s="256"/>
      <c r="S591" s="208"/>
      <c r="T591" s="256"/>
      <c r="U591" s="256"/>
      <c r="V591" s="256"/>
      <c r="W591" s="256"/>
      <c r="X591" s="237"/>
      <c r="Y591" s="256"/>
      <c r="Z591" s="256"/>
      <c r="AA591" s="256"/>
      <c r="AB591" s="256"/>
      <c r="AC591" s="256"/>
      <c r="AD591" s="256"/>
      <c r="AE591" s="256"/>
      <c r="AF591" s="256"/>
      <c r="AG591" s="256"/>
      <c r="AH591" s="256"/>
      <c r="AI591" s="256"/>
      <c r="AJ591" s="256"/>
      <c r="AK591" s="237"/>
      <c r="AL591" s="56"/>
      <c r="AM591" s="56"/>
      <c r="AN591" s="56"/>
      <c r="AO591" s="56"/>
      <c r="AP591" s="56"/>
      <c r="AQ591" s="56"/>
      <c r="AR591" s="56"/>
      <c r="AS591" s="56"/>
      <c r="AT591" s="56"/>
      <c r="AU591" s="56"/>
      <c r="AV591" s="56"/>
      <c r="AW591" s="56"/>
      <c r="AX591" s="56"/>
      <c r="AY591" s="208"/>
      <c r="AZ591" s="211"/>
    </row>
    <row r="592" ht="18" customHeight="1" hidden="1">
      <c r="A592" s="207"/>
      <c r="B592" s="208"/>
      <c r="C592" s="56"/>
      <c r="D592" s="56"/>
      <c r="E592" s="56"/>
      <c r="F592" s="56"/>
      <c r="G592" s="56"/>
      <c r="H592" s="56"/>
      <c r="I592" s="56"/>
      <c r="J592" s="56"/>
      <c r="K592" s="56"/>
      <c r="L592" s="256"/>
      <c r="M592" s="256"/>
      <c r="N592" s="256"/>
      <c r="O592" s="256"/>
      <c r="P592" s="256"/>
      <c r="Q592" s="256"/>
      <c r="R592" s="256"/>
      <c r="S592" s="208"/>
      <c r="T592" s="256"/>
      <c r="U592" s="256"/>
      <c r="V592" s="256"/>
      <c r="W592" s="256"/>
      <c r="X592" s="237"/>
      <c r="Y592" s="256"/>
      <c r="Z592" s="256"/>
      <c r="AA592" s="256"/>
      <c r="AB592" s="256"/>
      <c r="AC592" s="256"/>
      <c r="AD592" s="256"/>
      <c r="AE592" s="256"/>
      <c r="AF592" s="256"/>
      <c r="AG592" s="256"/>
      <c r="AH592" s="256"/>
      <c r="AI592" s="256"/>
      <c r="AJ592" s="256"/>
      <c r="AK592" s="237"/>
      <c r="AL592" s="56"/>
      <c r="AM592" s="56"/>
      <c r="AN592" s="56"/>
      <c r="AO592" s="56"/>
      <c r="AP592" s="56"/>
      <c r="AQ592" s="56"/>
      <c r="AR592" s="56"/>
      <c r="AS592" s="56"/>
      <c r="AT592" s="56"/>
      <c r="AU592" s="56"/>
      <c r="AV592" s="56"/>
      <c r="AW592" s="56"/>
      <c r="AX592" s="56"/>
      <c r="AY592" s="208"/>
      <c r="AZ592" s="211"/>
    </row>
    <row r="593" ht="18" customHeight="1" hidden="1">
      <c r="A593" s="207"/>
      <c r="B593" s="208"/>
      <c r="C593" s="56"/>
      <c r="D593" s="56"/>
      <c r="E593" s="56"/>
      <c r="F593" s="56"/>
      <c r="G593" s="56"/>
      <c r="H593" s="56"/>
      <c r="I593" s="56"/>
      <c r="J593" s="56"/>
      <c r="K593" s="56"/>
      <c r="L593" s="256"/>
      <c r="M593" s="256"/>
      <c r="N593" s="256"/>
      <c r="O593" s="256"/>
      <c r="P593" s="256"/>
      <c r="Q593" s="256"/>
      <c r="R593" s="256"/>
      <c r="S593" s="208"/>
      <c r="T593" s="256"/>
      <c r="U593" s="256"/>
      <c r="V593" s="256"/>
      <c r="W593" s="256"/>
      <c r="X593" s="237"/>
      <c r="Y593" s="256"/>
      <c r="Z593" s="256"/>
      <c r="AA593" s="256"/>
      <c r="AB593" s="256"/>
      <c r="AC593" s="256"/>
      <c r="AD593" s="256"/>
      <c r="AE593" s="256"/>
      <c r="AF593" s="256"/>
      <c r="AG593" s="256"/>
      <c r="AH593" s="256"/>
      <c r="AI593" s="256"/>
      <c r="AJ593" s="256"/>
      <c r="AK593" s="237"/>
      <c r="AL593" s="56"/>
      <c r="AM593" s="56"/>
      <c r="AN593" s="56"/>
      <c r="AO593" s="56"/>
      <c r="AP593" s="56"/>
      <c r="AQ593" s="56"/>
      <c r="AR593" s="56"/>
      <c r="AS593" s="56"/>
      <c r="AT593" s="56"/>
      <c r="AU593" s="56"/>
      <c r="AV593" s="56"/>
      <c r="AW593" s="56"/>
      <c r="AX593" s="56"/>
      <c r="AY593" s="208"/>
      <c r="AZ593" s="211"/>
    </row>
    <row r="594" ht="18" customHeight="1" hidden="1">
      <c r="A594" s="207"/>
      <c r="B594" s="208"/>
      <c r="C594" s="56"/>
      <c r="D594" s="56"/>
      <c r="E594" s="56"/>
      <c r="F594" s="56"/>
      <c r="G594" s="56"/>
      <c r="H594" s="56"/>
      <c r="I594" s="56"/>
      <c r="J594" s="56"/>
      <c r="K594" s="56"/>
      <c r="L594" s="256"/>
      <c r="M594" s="256"/>
      <c r="N594" s="256"/>
      <c r="O594" s="256"/>
      <c r="P594" s="256"/>
      <c r="Q594" s="256"/>
      <c r="R594" s="256"/>
      <c r="S594" s="208"/>
      <c r="T594" s="256"/>
      <c r="U594" s="256"/>
      <c r="V594" s="256"/>
      <c r="W594" s="256"/>
      <c r="X594" s="237"/>
      <c r="Y594" s="256"/>
      <c r="Z594" s="256"/>
      <c r="AA594" s="256"/>
      <c r="AB594" s="256"/>
      <c r="AC594" s="256"/>
      <c r="AD594" s="256"/>
      <c r="AE594" s="256"/>
      <c r="AF594" s="256"/>
      <c r="AG594" s="256"/>
      <c r="AH594" s="256"/>
      <c r="AI594" s="256"/>
      <c r="AJ594" s="256"/>
      <c r="AK594" s="237"/>
      <c r="AL594" s="56"/>
      <c r="AM594" s="56"/>
      <c r="AN594" s="56"/>
      <c r="AO594" s="56"/>
      <c r="AP594" s="56"/>
      <c r="AQ594" s="56"/>
      <c r="AR594" s="56"/>
      <c r="AS594" s="56"/>
      <c r="AT594" s="56"/>
      <c r="AU594" s="56"/>
      <c r="AV594" s="56"/>
      <c r="AW594" s="56"/>
      <c r="AX594" s="56"/>
      <c r="AY594" s="208"/>
      <c r="AZ594" s="211"/>
    </row>
    <row r="595" ht="18" customHeight="1" hidden="1">
      <c r="A595" s="207"/>
      <c r="B595" s="208"/>
      <c r="C595" s="56"/>
      <c r="D595" s="56"/>
      <c r="E595" s="56"/>
      <c r="F595" s="56"/>
      <c r="G595" s="56"/>
      <c r="H595" s="56"/>
      <c r="I595" s="56"/>
      <c r="J595" s="56"/>
      <c r="K595" s="56"/>
      <c r="L595" s="256"/>
      <c r="M595" s="256"/>
      <c r="N595" s="256"/>
      <c r="O595" s="256"/>
      <c r="P595" s="256"/>
      <c r="Q595" s="256"/>
      <c r="R595" s="256"/>
      <c r="S595" s="208"/>
      <c r="T595" s="256"/>
      <c r="U595" s="256"/>
      <c r="V595" s="256"/>
      <c r="W595" s="256"/>
      <c r="X595" s="237"/>
      <c r="Y595" s="256"/>
      <c r="Z595" s="256"/>
      <c r="AA595" s="256"/>
      <c r="AB595" s="256"/>
      <c r="AC595" s="256"/>
      <c r="AD595" s="256"/>
      <c r="AE595" s="256"/>
      <c r="AF595" s="256"/>
      <c r="AG595" s="256"/>
      <c r="AH595" s="256"/>
      <c r="AI595" s="256"/>
      <c r="AJ595" s="256"/>
      <c r="AK595" s="237"/>
      <c r="AL595" s="56"/>
      <c r="AM595" s="56"/>
      <c r="AN595" s="56"/>
      <c r="AO595" s="56"/>
      <c r="AP595" s="56"/>
      <c r="AQ595" s="56"/>
      <c r="AR595" s="56"/>
      <c r="AS595" s="56"/>
      <c r="AT595" s="56"/>
      <c r="AU595" s="56"/>
      <c r="AV595" s="56"/>
      <c r="AW595" s="56"/>
      <c r="AX595" s="56"/>
      <c r="AY595" s="208"/>
      <c r="AZ595" s="211"/>
    </row>
    <row r="596" ht="18" customHeight="1" hidden="1">
      <c r="A596" s="207"/>
      <c r="B596" s="208"/>
      <c r="C596" s="56"/>
      <c r="D596" s="56"/>
      <c r="E596" s="56"/>
      <c r="F596" s="56"/>
      <c r="G596" s="56"/>
      <c r="H596" s="56"/>
      <c r="I596" s="56"/>
      <c r="J596" s="56"/>
      <c r="K596" s="56"/>
      <c r="L596" s="256"/>
      <c r="M596" s="256"/>
      <c r="N596" s="256"/>
      <c r="O596" s="256"/>
      <c r="P596" s="256"/>
      <c r="Q596" s="256"/>
      <c r="R596" s="256"/>
      <c r="S596" s="208"/>
      <c r="T596" s="256"/>
      <c r="U596" s="256"/>
      <c r="V596" s="256"/>
      <c r="W596" s="256"/>
      <c r="X596" s="237"/>
      <c r="Y596" s="256"/>
      <c r="Z596" s="256"/>
      <c r="AA596" s="256"/>
      <c r="AB596" s="256"/>
      <c r="AC596" s="256"/>
      <c r="AD596" s="256"/>
      <c r="AE596" s="256"/>
      <c r="AF596" s="256"/>
      <c r="AG596" s="256"/>
      <c r="AH596" s="256"/>
      <c r="AI596" s="256"/>
      <c r="AJ596" s="256"/>
      <c r="AK596" s="237"/>
      <c r="AL596" s="56"/>
      <c r="AM596" s="56"/>
      <c r="AN596" s="56"/>
      <c r="AO596" s="56"/>
      <c r="AP596" s="56"/>
      <c r="AQ596" s="56"/>
      <c r="AR596" s="56"/>
      <c r="AS596" s="56"/>
      <c r="AT596" s="56"/>
      <c r="AU596" s="56"/>
      <c r="AV596" s="56"/>
      <c r="AW596" s="56"/>
      <c r="AX596" s="56"/>
      <c r="AY596" s="208"/>
      <c r="AZ596" s="211"/>
    </row>
    <row r="597" ht="15.65" customHeight="1">
      <c r="A597" s="362"/>
      <c r="B597" s="363"/>
      <c r="C597" s="363"/>
      <c r="D597" s="363"/>
      <c r="E597" s="363"/>
      <c r="F597" s="363"/>
      <c r="G597" s="363"/>
      <c r="H597" s="363"/>
      <c r="I597" s="363"/>
      <c r="J597" s="363"/>
      <c r="K597" s="363"/>
      <c r="L597" s="363"/>
      <c r="M597" s="363"/>
      <c r="N597" s="363"/>
      <c r="O597" s="363"/>
      <c r="P597" s="363"/>
      <c r="Q597" s="363"/>
      <c r="R597" s="363"/>
      <c r="S597" s="363"/>
      <c r="T597" s="363"/>
      <c r="U597" s="363"/>
      <c r="V597" s="363"/>
      <c r="W597" s="363"/>
      <c r="X597" s="363"/>
      <c r="Y597" s="363"/>
      <c r="Z597" s="363"/>
      <c r="AA597" s="363"/>
      <c r="AB597" s="363"/>
      <c r="AC597" s="363"/>
      <c r="AD597" s="363"/>
      <c r="AE597" s="363"/>
      <c r="AF597" s="363"/>
      <c r="AG597" s="363"/>
      <c r="AH597" s="363"/>
      <c r="AI597" s="363"/>
      <c r="AJ597" s="363"/>
      <c r="AK597" s="363"/>
      <c r="AL597" s="363"/>
      <c r="AM597" s="363"/>
      <c r="AN597" s="363"/>
      <c r="AO597" s="363"/>
      <c r="AP597" s="363"/>
      <c r="AQ597" s="363"/>
      <c r="AR597" s="363"/>
      <c r="AS597" s="363"/>
      <c r="AT597" s="363"/>
      <c r="AU597" s="363"/>
      <c r="AV597" s="363"/>
      <c r="AW597" s="363"/>
      <c r="AX597" s="363"/>
      <c r="AY597" s="363"/>
      <c r="AZ597" s="364"/>
    </row>
  </sheetData>
  <mergeCells count="5">
    <mergeCell ref="C3:D3"/>
    <mergeCell ref="J13:M13"/>
    <mergeCell ref="I11:I12"/>
    <mergeCell ref="A10:B11"/>
    <mergeCell ref="I13:I14"/>
  </mergeCells>
  <pageMargins left="0.75" right="0.75" top="1" bottom="1" header="0.5" footer="0.5"/>
  <pageSetup firstPageNumber="1" fitToHeight="1" fitToWidth="1" scale="100" useFirstPageNumber="0" orientation="landscape" pageOrder="downThenOver"/>
  <headerFooter>
    <oddFooter>&amp;R&amp;"Times New Roman,Regular"&amp;10&amp;K000000Appraisal Tool 201718  V8 50 Yrs.xlsm	06/01/2020]</oddFooter>
  </headerFooter>
  <drawing r:id="rId1"/>
  <legacyDrawing r:id="rId2"/>
</worksheet>
</file>

<file path=xl/worksheets/sheet8.xml><?xml version="1.0" encoding="utf-8"?>
<worksheet xmlns:r="http://schemas.openxmlformats.org/officeDocument/2006/relationships" xmlns="http://schemas.openxmlformats.org/spreadsheetml/2006/main">
  <dimension ref="A1:G407"/>
  <sheetViews>
    <sheetView workbookViewId="0" showGridLines="0" defaultGridColor="1"/>
  </sheetViews>
  <sheetFormatPr defaultColWidth="6.625" defaultRowHeight="12.75" customHeight="1" outlineLevelRow="0" outlineLevelCol="0"/>
  <cols>
    <col min="1" max="1" width="6.625" style="365" customWidth="1"/>
    <col min="2" max="2" width="37.875" style="365" customWidth="1"/>
    <col min="3" max="3" width="8.75" style="365" customWidth="1"/>
    <col min="4" max="4" width="9.875" style="365" customWidth="1"/>
    <col min="5" max="5" width="8.5" style="365" customWidth="1"/>
    <col min="6" max="6" width="8.25" style="365" customWidth="1"/>
    <col min="7" max="7" width="10.625" style="365" customWidth="1"/>
    <col min="8" max="256" width="6.625" style="365" customWidth="1"/>
  </cols>
  <sheetData>
    <row r="1" ht="18" customHeight="1">
      <c r="A1" t="s" s="366">
        <v>612</v>
      </c>
      <c r="B1" s="367"/>
      <c r="C1" s="367"/>
      <c r="D1" s="367"/>
      <c r="E1" s="367"/>
      <c r="F1" s="367"/>
      <c r="G1" s="367"/>
    </row>
    <row r="2" ht="18.75" customHeight="1">
      <c r="A2" s="367"/>
      <c r="B2" s="367"/>
      <c r="C2" s="368"/>
      <c r="D2" s="367"/>
      <c r="E2" s="367"/>
      <c r="F2" s="367"/>
      <c r="G2" s="367"/>
    </row>
    <row r="3" ht="15.75" customHeight="1">
      <c r="A3" t="s" s="369">
        <v>613</v>
      </c>
      <c r="B3" s="370"/>
      <c r="C3" s="371"/>
      <c r="D3" s="372"/>
      <c r="E3" s="367"/>
      <c r="F3" s="367"/>
      <c r="G3" s="367"/>
    </row>
    <row r="4" ht="15.75" customHeight="1">
      <c r="A4" t="s" s="373">
        <v>614</v>
      </c>
      <c r="B4" s="368"/>
      <c r="C4" s="374"/>
      <c r="D4" s="368"/>
      <c r="E4" s="367"/>
      <c r="F4" s="367"/>
      <c r="G4" s="367"/>
    </row>
    <row r="5" ht="15.75" customHeight="1">
      <c r="A5" t="s" s="375">
        <v>615</v>
      </c>
      <c r="B5" s="376"/>
      <c r="C5" s="376"/>
      <c r="D5" s="376"/>
      <c r="E5" s="372"/>
      <c r="F5" s="367"/>
      <c r="G5" s="367"/>
    </row>
    <row r="6" ht="15.65" customHeight="1">
      <c r="A6" s="377"/>
      <c r="B6" s="377"/>
      <c r="C6" s="377"/>
      <c r="D6" s="377"/>
      <c r="E6" s="378"/>
      <c r="F6" s="378"/>
      <c r="G6" s="378"/>
    </row>
    <row r="7" ht="16" customHeight="1">
      <c r="A7" s="379"/>
      <c r="B7" s="379"/>
      <c r="C7" t="s" s="380">
        <v>616</v>
      </c>
      <c r="D7" s="381"/>
      <c r="E7" s="381"/>
      <c r="F7" s="381"/>
      <c r="G7" s="382"/>
    </row>
    <row r="8" ht="25.5" customHeight="1">
      <c r="A8" s="383"/>
      <c r="B8" t="s" s="384">
        <v>617</v>
      </c>
      <c r="C8" t="s" s="385">
        <v>618</v>
      </c>
      <c r="D8" t="s" s="385">
        <v>619</v>
      </c>
      <c r="E8" t="s" s="385">
        <v>620</v>
      </c>
      <c r="F8" s="386"/>
      <c r="G8" t="s" s="385">
        <v>621</v>
      </c>
    </row>
    <row r="9" ht="16" customHeight="1">
      <c r="A9" s="387"/>
      <c r="B9" s="387"/>
      <c r="C9" t="s" s="388">
        <v>622</v>
      </c>
      <c r="D9" s="389"/>
      <c r="E9" s="389"/>
      <c r="F9" s="389"/>
      <c r="G9" s="389"/>
    </row>
    <row r="10" ht="16" customHeight="1">
      <c r="A10" s="379"/>
      <c r="B10" s="379"/>
      <c r="C10" s="379"/>
      <c r="D10" s="390"/>
      <c r="E10" s="390"/>
      <c r="F10" s="379"/>
      <c r="G10" s="379"/>
    </row>
    <row r="11" ht="16" customHeight="1">
      <c r="A11" s="391">
        <v>1</v>
      </c>
      <c r="B11" t="s" s="391">
        <v>623</v>
      </c>
      <c r="C11" s="384">
        <f>E11*D11</f>
        <v>1023000</v>
      </c>
      <c r="D11" s="392">
        <v>1650</v>
      </c>
      <c r="E11" s="393">
        <v>620</v>
      </c>
      <c r="F11" t="s" s="384">
        <v>624</v>
      </c>
      <c r="G11" s="383"/>
    </row>
    <row r="12" ht="16" customHeight="1">
      <c r="A12" s="391">
        <v>2</v>
      </c>
      <c r="B12" t="s" s="391">
        <v>625</v>
      </c>
      <c r="C12" s="383"/>
      <c r="D12" s="394"/>
      <c r="E12" s="394"/>
      <c r="F12" s="383"/>
      <c r="G12" s="383"/>
    </row>
    <row r="13" ht="16" customHeight="1">
      <c r="A13" s="384">
        <v>2.1</v>
      </c>
      <c r="B13" t="s" s="384">
        <v>626</v>
      </c>
      <c r="C13" s="384">
        <f>E13*D13</f>
        <v>0</v>
      </c>
      <c r="D13" s="392"/>
      <c r="E13" s="392"/>
      <c r="F13" t="s" s="384">
        <v>624</v>
      </c>
      <c r="G13" s="383"/>
    </row>
    <row r="14" ht="16" customHeight="1">
      <c r="A14" s="384">
        <v>2.2</v>
      </c>
      <c r="B14" t="s" s="384">
        <v>627</v>
      </c>
      <c r="C14" s="384">
        <f>E14*D14</f>
        <v>0</v>
      </c>
      <c r="D14" s="392"/>
      <c r="E14" s="392"/>
      <c r="F14" t="s" s="384">
        <v>624</v>
      </c>
      <c r="G14" s="383"/>
    </row>
    <row r="15" ht="16" customHeight="1">
      <c r="A15" s="384">
        <v>2.3</v>
      </c>
      <c r="B15" t="s" s="384">
        <v>628</v>
      </c>
      <c r="C15" s="384">
        <f>E15*D15</f>
        <v>0</v>
      </c>
      <c r="D15" s="392"/>
      <c r="E15" s="392"/>
      <c r="F15" t="s" s="384">
        <v>624</v>
      </c>
      <c r="G15" s="395"/>
    </row>
    <row r="16" ht="16" customHeight="1">
      <c r="A16" s="384">
        <v>2.4</v>
      </c>
      <c r="B16" t="s" s="384">
        <v>629</v>
      </c>
      <c r="C16" s="383">
        <f>G16*E16</f>
        <v>0</v>
      </c>
      <c r="D16" s="394"/>
      <c r="E16" s="392"/>
      <c r="F16" t="s" s="384">
        <v>630</v>
      </c>
      <c r="G16" s="392"/>
    </row>
    <row r="17" ht="16" customHeight="1">
      <c r="A17" s="384">
        <v>2.5</v>
      </c>
      <c r="B17" t="s" s="384">
        <v>631</v>
      </c>
      <c r="C17" s="384">
        <f>E17*D17</f>
        <v>0</v>
      </c>
      <c r="D17" s="392"/>
      <c r="E17" s="392"/>
      <c r="F17" t="s" s="384">
        <v>624</v>
      </c>
      <c r="G17" s="396"/>
    </row>
    <row r="18" ht="16" customHeight="1">
      <c r="A18" s="384">
        <v>2.6</v>
      </c>
      <c r="B18" t="s" s="384">
        <v>632</v>
      </c>
      <c r="C18" s="384">
        <f>E18*D18</f>
        <v>0</v>
      </c>
      <c r="D18" s="392"/>
      <c r="E18" s="392"/>
      <c r="F18" t="s" s="384">
        <v>624</v>
      </c>
      <c r="G18" s="383"/>
    </row>
    <row r="19" ht="16" customHeight="1">
      <c r="A19" s="384">
        <v>2.7</v>
      </c>
      <c r="B19" t="s" s="384">
        <v>633</v>
      </c>
      <c r="C19" s="384">
        <f>E19*D19</f>
        <v>0</v>
      </c>
      <c r="D19" s="392"/>
      <c r="E19" s="392"/>
      <c r="F19" t="s" s="384">
        <v>624</v>
      </c>
      <c r="G19" s="395"/>
    </row>
    <row r="20" ht="16" customHeight="1">
      <c r="A20" s="384">
        <v>2.8</v>
      </c>
      <c r="B20" t="s" s="384">
        <v>634</v>
      </c>
      <c r="C20" s="397">
        <f>G20*E20</f>
        <v>0</v>
      </c>
      <c r="D20" s="396"/>
      <c r="E20" s="392"/>
      <c r="F20" t="s" s="384">
        <v>630</v>
      </c>
      <c r="G20" s="392"/>
    </row>
    <row r="21" ht="15.75" customHeight="1">
      <c r="A21" s="383"/>
      <c r="B21" t="s" s="398">
        <v>635</v>
      </c>
      <c r="C21" s="399">
        <f>SUM(C13:C20)</f>
        <v>0</v>
      </c>
      <c r="D21" s="383"/>
      <c r="E21" s="396"/>
      <c r="F21" s="383"/>
      <c r="G21" s="396"/>
    </row>
    <row r="22" ht="16" customHeight="1">
      <c r="A22" s="383"/>
      <c r="B22" s="383"/>
      <c r="C22" s="383"/>
      <c r="D22" s="383"/>
      <c r="E22" s="383"/>
      <c r="F22" s="383"/>
      <c r="G22" s="383"/>
    </row>
    <row r="23" ht="16" customHeight="1">
      <c r="A23" s="391">
        <v>3</v>
      </c>
      <c r="B23" t="s" s="391">
        <v>636</v>
      </c>
      <c r="C23" s="383"/>
      <c r="D23" s="395"/>
      <c r="E23" s="395"/>
      <c r="F23" s="383"/>
      <c r="G23" s="383"/>
    </row>
    <row r="24" ht="16" customHeight="1">
      <c r="A24" s="384">
        <v>3.1</v>
      </c>
      <c r="B24" t="s" s="384">
        <v>637</v>
      </c>
      <c r="C24" s="384">
        <f>E24*D24</f>
        <v>0</v>
      </c>
      <c r="D24" s="392"/>
      <c r="E24" s="392"/>
      <c r="F24" t="s" s="384">
        <v>624</v>
      </c>
      <c r="G24" s="383"/>
    </row>
    <row r="25" ht="16" customHeight="1">
      <c r="A25" s="384">
        <v>3.2</v>
      </c>
      <c r="B25" t="s" s="384">
        <v>638</v>
      </c>
      <c r="C25" s="384">
        <f>E25*D25</f>
        <v>0</v>
      </c>
      <c r="D25" s="392"/>
      <c r="E25" s="392"/>
      <c r="F25" t="s" s="384">
        <v>624</v>
      </c>
      <c r="G25" s="383"/>
    </row>
    <row r="26" ht="16" customHeight="1">
      <c r="A26" s="384">
        <v>3.3</v>
      </c>
      <c r="B26" t="s" s="384">
        <v>639</v>
      </c>
      <c r="C26" s="397">
        <f>E26*D26</f>
        <v>0</v>
      </c>
      <c r="D26" s="392"/>
      <c r="E26" s="392"/>
      <c r="F26" t="s" s="384">
        <v>624</v>
      </c>
      <c r="G26" s="383"/>
    </row>
    <row r="27" ht="16" customHeight="1">
      <c r="A27" s="383"/>
      <c r="B27" t="s" s="398">
        <v>640</v>
      </c>
      <c r="C27" s="399">
        <f>SUM(C24:C26)</f>
        <v>0</v>
      </c>
      <c r="D27" s="396"/>
      <c r="E27" s="396"/>
      <c r="F27" s="383"/>
      <c r="G27" s="383"/>
    </row>
    <row r="28" ht="16" customHeight="1">
      <c r="A28" s="383"/>
      <c r="B28" s="383"/>
      <c r="C28" s="383"/>
      <c r="D28" s="395"/>
      <c r="E28" s="395"/>
      <c r="F28" s="383"/>
      <c r="G28" s="383"/>
    </row>
    <row r="29" ht="16" customHeight="1">
      <c r="A29" s="391">
        <v>4</v>
      </c>
      <c r="B29" t="s" s="391">
        <v>641</v>
      </c>
      <c r="C29" s="384">
        <f>E29*D29</f>
        <v>0</v>
      </c>
      <c r="D29" s="392"/>
      <c r="E29" s="392"/>
      <c r="F29" t="s" s="384">
        <v>624</v>
      </c>
      <c r="G29" s="383"/>
    </row>
    <row r="30" ht="16" customHeight="1">
      <c r="A30" s="391">
        <v>5</v>
      </c>
      <c r="B30" t="s" s="391">
        <v>642</v>
      </c>
      <c r="C30" s="383"/>
      <c r="D30" s="396"/>
      <c r="E30" s="394"/>
      <c r="F30" s="383"/>
      <c r="G30" s="395"/>
    </row>
    <row r="31" ht="16" customHeight="1">
      <c r="A31" s="384">
        <v>5.1</v>
      </c>
      <c r="B31" t="s" s="384">
        <v>643</v>
      </c>
      <c r="C31" s="383">
        <f>G31*E31</f>
        <v>0</v>
      </c>
      <c r="D31" s="384"/>
      <c r="E31" s="392"/>
      <c r="F31" t="s" s="384">
        <v>630</v>
      </c>
      <c r="G31" s="392"/>
    </row>
    <row r="32" ht="16" customHeight="1">
      <c r="A32" s="384">
        <v>5.2</v>
      </c>
      <c r="B32" t="s" s="384">
        <v>644</v>
      </c>
      <c r="C32" s="383">
        <f>G32*E32</f>
        <v>0</v>
      </c>
      <c r="D32" s="384"/>
      <c r="E32" s="392"/>
      <c r="F32" t="s" s="384">
        <v>630</v>
      </c>
      <c r="G32" s="392"/>
    </row>
    <row r="33" ht="16" customHeight="1">
      <c r="A33" s="384">
        <v>5.3</v>
      </c>
      <c r="B33" t="s" s="384">
        <v>645</v>
      </c>
      <c r="C33" s="383">
        <f>G33*E33</f>
        <v>0</v>
      </c>
      <c r="D33" s="395"/>
      <c r="E33" s="392"/>
      <c r="F33" t="s" s="384">
        <v>630</v>
      </c>
      <c r="G33" s="392"/>
    </row>
    <row r="34" ht="16" customHeight="1">
      <c r="A34" s="384">
        <v>4.4</v>
      </c>
      <c r="B34" t="s" s="384">
        <v>646</v>
      </c>
      <c r="C34" s="384">
        <f>E34*D34</f>
        <v>0</v>
      </c>
      <c r="D34" s="392"/>
      <c r="E34" s="392"/>
      <c r="F34" t="s" s="384">
        <v>624</v>
      </c>
      <c r="G34" s="394"/>
    </row>
    <row r="35" ht="16" customHeight="1">
      <c r="A35" s="384">
        <v>5.5</v>
      </c>
      <c r="B35" t="s" s="384">
        <v>647</v>
      </c>
      <c r="C35" s="383">
        <f>G35*E35</f>
        <v>0</v>
      </c>
      <c r="D35" s="394"/>
      <c r="E35" s="392"/>
      <c r="F35" t="s" s="384">
        <v>648</v>
      </c>
      <c r="G35" s="392"/>
    </row>
    <row r="36" ht="16" customHeight="1">
      <c r="A36" s="384">
        <v>5.6</v>
      </c>
      <c r="B36" t="s" s="384">
        <v>649</v>
      </c>
      <c r="C36" s="384">
        <f>E36*D36</f>
        <v>0</v>
      </c>
      <c r="D36" s="392"/>
      <c r="E36" s="392"/>
      <c r="F36" t="s" s="384">
        <v>624</v>
      </c>
      <c r="G36" s="396"/>
    </row>
    <row r="37" ht="16" customHeight="1">
      <c r="A37" s="384">
        <v>5.7</v>
      </c>
      <c r="B37" t="s" s="384">
        <v>650</v>
      </c>
      <c r="C37" s="384">
        <f>E37*D37</f>
        <v>0</v>
      </c>
      <c r="D37" s="392"/>
      <c r="E37" s="392"/>
      <c r="F37" t="s" s="384">
        <v>624</v>
      </c>
      <c r="G37" s="383"/>
    </row>
    <row r="38" ht="16" customHeight="1">
      <c r="A38" s="384">
        <v>5.8</v>
      </c>
      <c r="B38" t="s" s="384">
        <v>651</v>
      </c>
      <c r="C38" s="384">
        <f>E38*D38</f>
        <v>0</v>
      </c>
      <c r="D38" s="392"/>
      <c r="E38" s="392"/>
      <c r="F38" t="s" s="384">
        <v>624</v>
      </c>
      <c r="G38" s="383"/>
    </row>
    <row r="39" ht="16" customHeight="1">
      <c r="A39" s="384">
        <v>5.9</v>
      </c>
      <c r="B39" t="s" s="384">
        <v>652</v>
      </c>
      <c r="C39" s="384">
        <f>E39*D39</f>
        <v>0</v>
      </c>
      <c r="D39" s="392"/>
      <c r="E39" s="392"/>
      <c r="F39" t="s" s="384">
        <v>624</v>
      </c>
      <c r="G39" s="395"/>
    </row>
    <row r="40" ht="16" customHeight="1">
      <c r="A40" s="400">
        <v>5.1</v>
      </c>
      <c r="B40" t="s" s="384">
        <v>653</v>
      </c>
      <c r="C40" s="383">
        <f>G40*E40</f>
        <v>0</v>
      </c>
      <c r="D40" s="394"/>
      <c r="E40" s="392"/>
      <c r="F40" t="s" s="384">
        <v>630</v>
      </c>
      <c r="G40" s="392"/>
    </row>
    <row r="41" ht="16" customHeight="1">
      <c r="A41" s="384">
        <v>5.11</v>
      </c>
      <c r="B41" t="s" s="384">
        <v>654</v>
      </c>
      <c r="C41" s="384">
        <f>E41*D41</f>
        <v>0</v>
      </c>
      <c r="D41" s="392"/>
      <c r="E41" s="392"/>
      <c r="F41" t="s" s="384">
        <v>624</v>
      </c>
      <c r="G41" s="396"/>
    </row>
    <row r="42" ht="16" customHeight="1">
      <c r="A42" s="384">
        <v>5.12</v>
      </c>
      <c r="B42" t="s" s="384">
        <v>655</v>
      </c>
      <c r="C42" s="384">
        <f>E42*D42</f>
        <v>0</v>
      </c>
      <c r="D42" s="392"/>
      <c r="E42" s="392"/>
      <c r="F42" t="s" s="384">
        <v>624</v>
      </c>
      <c r="G42" s="383"/>
    </row>
    <row r="43" ht="16" customHeight="1">
      <c r="A43" s="384">
        <v>5.13</v>
      </c>
      <c r="B43" t="s" s="384">
        <v>656</v>
      </c>
      <c r="C43" s="384">
        <f>E43*D43</f>
        <v>0</v>
      </c>
      <c r="D43" s="392"/>
      <c r="E43" s="392"/>
      <c r="F43" t="s" s="384">
        <v>624</v>
      </c>
      <c r="G43" s="383"/>
    </row>
    <row r="44" ht="16" customHeight="1">
      <c r="A44" s="384">
        <v>5.14</v>
      </c>
      <c r="B44" t="s" s="384">
        <v>657</v>
      </c>
      <c r="C44" s="397">
        <f>E44*D44</f>
        <v>0</v>
      </c>
      <c r="D44" s="392"/>
      <c r="E44" s="392"/>
      <c r="F44" t="s" s="384">
        <v>624</v>
      </c>
      <c r="G44" s="383"/>
    </row>
    <row r="45" ht="16" customHeight="1">
      <c r="A45" s="383"/>
      <c r="B45" t="s" s="398">
        <v>658</v>
      </c>
      <c r="C45" s="399">
        <f>SUM(C31:C44)</f>
        <v>0</v>
      </c>
      <c r="D45" s="396"/>
      <c r="E45" s="396"/>
      <c r="F45" s="383"/>
      <c r="G45" s="383"/>
    </row>
    <row r="46" ht="16" customHeight="1">
      <c r="A46" s="383"/>
      <c r="B46" s="383"/>
      <c r="C46" s="383"/>
      <c r="D46" s="395"/>
      <c r="E46" s="395"/>
      <c r="F46" s="383"/>
      <c r="G46" s="383"/>
    </row>
    <row r="47" ht="16" customHeight="1">
      <c r="A47" s="391">
        <v>6</v>
      </c>
      <c r="B47" t="s" s="391">
        <v>659</v>
      </c>
      <c r="C47" s="384">
        <f>E47*D47</f>
        <v>0</v>
      </c>
      <c r="D47" s="392"/>
      <c r="E47" s="392"/>
      <c r="F47" t="s" s="384">
        <v>624</v>
      </c>
      <c r="G47" s="383"/>
    </row>
    <row r="48" ht="16" customHeight="1">
      <c r="A48" s="391">
        <v>7</v>
      </c>
      <c r="B48" t="s" s="391">
        <v>660</v>
      </c>
      <c r="C48" s="383"/>
      <c r="D48" s="394"/>
      <c r="E48" s="394"/>
      <c r="F48" s="383"/>
      <c r="G48" s="383"/>
    </row>
    <row r="49" ht="16" customHeight="1">
      <c r="A49" s="384">
        <v>7.1</v>
      </c>
      <c r="B49" t="s" s="384">
        <v>661</v>
      </c>
      <c r="C49" s="397">
        <f>E49*D49</f>
        <v>0</v>
      </c>
      <c r="D49" s="392"/>
      <c r="E49" s="392"/>
      <c r="F49" t="s" s="384">
        <v>624</v>
      </c>
      <c r="G49" s="383"/>
    </row>
    <row r="50" ht="16" customHeight="1">
      <c r="A50" s="383"/>
      <c r="B50" t="s" s="398">
        <v>662</v>
      </c>
      <c r="C50" s="399">
        <f>SUM(C49)</f>
        <v>0</v>
      </c>
      <c r="D50" s="396"/>
      <c r="E50" s="396"/>
      <c r="F50" s="383"/>
      <c r="G50" s="383"/>
    </row>
    <row r="51" ht="16" customHeight="1">
      <c r="A51" s="383"/>
      <c r="B51" s="383"/>
      <c r="C51" s="383"/>
      <c r="D51" s="383"/>
      <c r="E51" s="383"/>
      <c r="F51" s="383"/>
      <c r="G51" s="383"/>
    </row>
    <row r="52" ht="16" customHeight="1">
      <c r="A52" s="391">
        <v>8</v>
      </c>
      <c r="B52" t="s" s="391">
        <v>663</v>
      </c>
      <c r="C52" s="383"/>
      <c r="D52" s="395"/>
      <c r="E52" s="395"/>
      <c r="F52" s="383"/>
      <c r="G52" s="383"/>
    </row>
    <row r="53" ht="16" customHeight="1">
      <c r="A53" s="384">
        <v>8.1</v>
      </c>
      <c r="B53" t="s" s="384">
        <v>664</v>
      </c>
      <c r="C53" s="384">
        <f>E53*D53</f>
        <v>0</v>
      </c>
      <c r="D53" s="392"/>
      <c r="E53" s="392"/>
      <c r="F53" t="s" s="384">
        <v>624</v>
      </c>
      <c r="G53" s="383"/>
    </row>
    <row r="54" ht="16" customHeight="1">
      <c r="A54" s="384">
        <v>8.199999999999999</v>
      </c>
      <c r="B54" t="s" s="384">
        <v>665</v>
      </c>
      <c r="C54" s="384">
        <f>E54*D54</f>
        <v>0</v>
      </c>
      <c r="D54" s="392"/>
      <c r="E54" s="392"/>
      <c r="F54" t="s" s="384">
        <v>624</v>
      </c>
      <c r="G54" s="383"/>
    </row>
    <row r="55" ht="16" customHeight="1">
      <c r="A55" s="384">
        <v>8.300000000000001</v>
      </c>
      <c r="B55" t="s" s="384">
        <v>666</v>
      </c>
      <c r="C55" s="384">
        <f>E55*D55</f>
        <v>0</v>
      </c>
      <c r="D55" s="392"/>
      <c r="E55" s="392"/>
      <c r="F55" t="s" s="384">
        <v>624</v>
      </c>
      <c r="G55" s="383"/>
    </row>
    <row r="56" ht="16" customHeight="1">
      <c r="A56" s="384">
        <v>8.4</v>
      </c>
      <c r="B56" t="s" s="384">
        <v>667</v>
      </c>
      <c r="C56" s="384">
        <f>E56*D56</f>
        <v>0</v>
      </c>
      <c r="D56" s="392"/>
      <c r="E56" s="392"/>
      <c r="F56" t="s" s="384">
        <v>624</v>
      </c>
      <c r="G56" s="383"/>
    </row>
    <row r="57" ht="16" customHeight="1">
      <c r="A57" s="384">
        <v>8.5</v>
      </c>
      <c r="B57" t="s" s="384">
        <v>668</v>
      </c>
      <c r="C57" s="384">
        <f>E57*D57</f>
        <v>0</v>
      </c>
      <c r="D57" s="392"/>
      <c r="E57" s="392"/>
      <c r="F57" t="s" s="384">
        <v>624</v>
      </c>
      <c r="G57" s="383"/>
    </row>
    <row r="58" ht="16" customHeight="1">
      <c r="A58" s="384">
        <v>8.6</v>
      </c>
      <c r="B58" t="s" s="384">
        <v>669</v>
      </c>
      <c r="C58" s="384">
        <f>E58*D58</f>
        <v>0</v>
      </c>
      <c r="D58" s="392"/>
      <c r="E58" s="392"/>
      <c r="F58" t="s" s="384">
        <v>624</v>
      </c>
      <c r="G58" s="383"/>
    </row>
    <row r="59" ht="16" customHeight="1">
      <c r="A59" s="384">
        <v>8.699999999999999</v>
      </c>
      <c r="B59" t="s" s="384">
        <v>670</v>
      </c>
      <c r="C59" s="384">
        <f>E59*D59</f>
        <v>0</v>
      </c>
      <c r="D59" s="392"/>
      <c r="E59" s="392"/>
      <c r="F59" t="s" s="384">
        <v>624</v>
      </c>
      <c r="G59" s="383"/>
    </row>
    <row r="60" ht="16" customHeight="1">
      <c r="A60" s="384">
        <v>8.800000000000001</v>
      </c>
      <c r="B60" t="s" s="384">
        <v>671</v>
      </c>
      <c r="C60" s="397">
        <f>E60*D60</f>
        <v>0</v>
      </c>
      <c r="D60" s="392"/>
      <c r="E60" s="392"/>
      <c r="F60" t="s" s="384">
        <v>624</v>
      </c>
      <c r="G60" s="383"/>
    </row>
    <row r="61" ht="16" customHeight="1">
      <c r="A61" s="383"/>
      <c r="B61" t="s" s="398">
        <v>672</v>
      </c>
      <c r="C61" s="399">
        <f>SUM(C53:C60)</f>
        <v>0</v>
      </c>
      <c r="D61" s="396"/>
      <c r="E61" s="396"/>
      <c r="F61" s="383"/>
      <c r="G61" s="383"/>
    </row>
    <row r="62" ht="16" customHeight="1">
      <c r="A62" s="383"/>
      <c r="B62" s="383"/>
      <c r="C62" s="383"/>
      <c r="D62" s="383"/>
      <c r="E62" s="383"/>
      <c r="F62" s="383"/>
      <c r="G62" s="383"/>
    </row>
    <row r="63" ht="16" customHeight="1">
      <c r="A63" s="391">
        <v>0</v>
      </c>
      <c r="B63" t="s" s="391">
        <v>673</v>
      </c>
      <c r="C63" s="383"/>
      <c r="D63" s="395"/>
      <c r="E63" s="395"/>
      <c r="F63" s="383"/>
      <c r="G63" s="383"/>
    </row>
    <row r="64" ht="16" customHeight="1">
      <c r="A64" s="384">
        <v>0.1</v>
      </c>
      <c r="B64" t="s" s="384">
        <v>674</v>
      </c>
      <c r="C64" s="384">
        <f>E64*D64</f>
        <v>0</v>
      </c>
      <c r="D64" s="392"/>
      <c r="E64" s="392"/>
      <c r="F64" t="s" s="384">
        <v>624</v>
      </c>
      <c r="G64" s="383"/>
    </row>
    <row r="65" ht="16" customHeight="1">
      <c r="A65" s="384">
        <v>0.2</v>
      </c>
      <c r="B65" t="s" s="384">
        <v>675</v>
      </c>
      <c r="C65" s="384">
        <f>E65*D65</f>
        <v>0</v>
      </c>
      <c r="D65" s="392"/>
      <c r="E65" s="392"/>
      <c r="F65" t="s" s="384">
        <v>624</v>
      </c>
      <c r="G65" s="383"/>
    </row>
    <row r="66" ht="16" customHeight="1">
      <c r="A66" s="384">
        <v>0.3</v>
      </c>
      <c r="B66" t="s" s="384">
        <v>676</v>
      </c>
      <c r="C66" s="384">
        <f>E66*D66</f>
        <v>0</v>
      </c>
      <c r="D66" s="392"/>
      <c r="E66" s="392"/>
      <c r="F66" t="s" s="384">
        <v>624</v>
      </c>
      <c r="G66" s="383"/>
    </row>
    <row r="67" ht="16" customHeight="1">
      <c r="A67" s="384">
        <v>0.4</v>
      </c>
      <c r="B67" t="s" s="384">
        <v>677</v>
      </c>
      <c r="C67" s="384">
        <f>E67*D67</f>
        <v>0</v>
      </c>
      <c r="D67" s="392"/>
      <c r="E67" s="392"/>
      <c r="F67" t="s" s="384">
        <v>624</v>
      </c>
      <c r="G67" s="383"/>
    </row>
    <row r="68" ht="16" customHeight="1">
      <c r="A68" s="384">
        <v>0.5</v>
      </c>
      <c r="B68" t="s" s="384">
        <v>678</v>
      </c>
      <c r="C68" s="384">
        <f>E68*D68</f>
        <v>0</v>
      </c>
      <c r="D68" s="392"/>
      <c r="E68" s="392"/>
      <c r="F68" t="s" s="384">
        <v>624</v>
      </c>
      <c r="G68" s="383"/>
    </row>
    <row r="69" ht="16" customHeight="1">
      <c r="A69" s="384">
        <v>0.6</v>
      </c>
      <c r="B69" t="s" s="384">
        <v>679</v>
      </c>
      <c r="C69" s="397">
        <f>E69*D69</f>
        <v>0</v>
      </c>
      <c r="D69" s="392"/>
      <c r="E69" s="392"/>
      <c r="F69" t="s" s="384">
        <v>624</v>
      </c>
      <c r="G69" s="383"/>
    </row>
    <row r="70" ht="16" customHeight="1">
      <c r="A70" s="383"/>
      <c r="B70" t="s" s="398">
        <v>680</v>
      </c>
      <c r="C70" s="399">
        <f>SUM(C64:C69)</f>
        <v>0</v>
      </c>
      <c r="D70" s="396"/>
      <c r="E70" s="396"/>
      <c r="F70" s="383"/>
      <c r="G70" s="383"/>
    </row>
    <row r="71" ht="16" customHeight="1">
      <c r="A71" s="383"/>
      <c r="B71" s="383"/>
      <c r="C71" s="395"/>
      <c r="D71" s="383"/>
      <c r="E71" s="383"/>
      <c r="F71" s="383"/>
      <c r="G71" s="383"/>
    </row>
    <row r="72" ht="16" customHeight="1">
      <c r="A72" s="391">
        <v>9</v>
      </c>
      <c r="B72" t="s" s="391">
        <v>681</v>
      </c>
      <c r="C72" s="392"/>
      <c r="D72" s="383"/>
      <c r="E72" s="383"/>
      <c r="F72" s="383"/>
      <c r="G72" s="383"/>
    </row>
    <row r="73" ht="16" customHeight="1">
      <c r="A73" s="391">
        <v>10</v>
      </c>
      <c r="B73" t="s" s="391">
        <v>682</v>
      </c>
      <c r="C73" s="392"/>
      <c r="D73" s="383"/>
      <c r="E73" s="383"/>
      <c r="F73" s="383"/>
      <c r="G73" s="383"/>
    </row>
    <row r="74" ht="16" customHeight="1">
      <c r="A74" s="387"/>
      <c r="B74" s="387"/>
      <c r="C74" s="401"/>
      <c r="D74" s="387"/>
      <c r="E74" s="387"/>
      <c r="F74" s="387"/>
      <c r="G74" s="387"/>
    </row>
    <row r="75" ht="16" customHeight="1">
      <c r="A75" s="287"/>
      <c r="B75" t="s" s="402">
        <v>683</v>
      </c>
      <c r="C75" s="287">
        <f>C11+C21+C27+C29+C45+C47+C48+C50+C61+C70+C72+C73</f>
        <v>1023000</v>
      </c>
      <c r="D75" s="287"/>
      <c r="E75" s="287"/>
      <c r="F75" s="287"/>
      <c r="G75" s="287"/>
    </row>
    <row r="76" ht="16" customHeight="1">
      <c r="A76" s="379"/>
      <c r="B76" s="379"/>
      <c r="C76" s="390"/>
      <c r="D76" s="379"/>
      <c r="E76" s="379"/>
      <c r="F76" s="379"/>
      <c r="G76" s="379"/>
    </row>
    <row r="77" ht="16" customHeight="1">
      <c r="A77" s="391">
        <v>11</v>
      </c>
      <c r="B77" t="s" s="391">
        <v>684</v>
      </c>
      <c r="C77" s="392"/>
      <c r="D77" s="383"/>
      <c r="E77" s="383"/>
      <c r="F77" s="383"/>
      <c r="G77" s="383"/>
    </row>
    <row r="78" ht="16" customHeight="1">
      <c r="A78" s="391">
        <v>12</v>
      </c>
      <c r="B78" t="s" s="391">
        <v>685</v>
      </c>
      <c r="C78" s="392"/>
      <c r="D78" s="383"/>
      <c r="E78" s="383"/>
      <c r="F78" s="383"/>
      <c r="G78" s="383"/>
    </row>
    <row r="79" ht="16" customHeight="1">
      <c r="A79" s="403">
        <v>13</v>
      </c>
      <c r="B79" t="s" s="403">
        <v>686</v>
      </c>
      <c r="C79" s="404"/>
      <c r="D79" s="387"/>
      <c r="E79" s="387"/>
      <c r="F79" s="387"/>
      <c r="G79" s="387"/>
    </row>
    <row r="80" ht="16" customHeight="1">
      <c r="A80" s="379"/>
      <c r="B80" s="379"/>
      <c r="C80" s="379"/>
      <c r="D80" s="379"/>
      <c r="E80" s="379"/>
      <c r="F80" s="379"/>
      <c r="G80" s="379"/>
    </row>
    <row r="81" ht="16" customHeight="1">
      <c r="A81" s="383"/>
      <c r="B81" t="s" s="391">
        <v>687</v>
      </c>
      <c r="C81" s="383">
        <f>C75+C77+C78+C79</f>
        <v>1023000</v>
      </c>
      <c r="D81" s="383"/>
      <c r="E81" s="383"/>
      <c r="F81" s="383"/>
      <c r="G81" s="383"/>
    </row>
    <row r="82" ht="16" customHeight="1">
      <c r="A82" s="387"/>
      <c r="B82" s="387"/>
      <c r="C82" s="387"/>
      <c r="D82" s="387"/>
      <c r="E82" s="387"/>
      <c r="F82" s="387"/>
      <c r="G82" s="387"/>
    </row>
    <row r="83" ht="16" customHeight="1">
      <c r="A83" s="405"/>
      <c r="B83" s="405"/>
      <c r="C83" s="406"/>
      <c r="D83" s="406"/>
      <c r="E83" s="406"/>
      <c r="F83" s="406"/>
      <c r="G83" s="406"/>
    </row>
    <row r="84" ht="16" customHeight="1">
      <c r="A84" s="379"/>
      <c r="B84" s="379"/>
      <c r="C84" s="379"/>
      <c r="D84" s="379"/>
      <c r="E84" s="379"/>
      <c r="F84" s="379"/>
      <c r="G84" s="379"/>
    </row>
    <row r="85" ht="16" customHeight="1">
      <c r="A85" s="407">
        <f>100%-A86</f>
        <v>0.99</v>
      </c>
      <c r="B85" t="s" s="384">
        <v>688</v>
      </c>
      <c r="C85" s="408">
        <f>C81*A85</f>
        <v>1012770</v>
      </c>
      <c r="D85" s="383"/>
      <c r="E85" s="383"/>
      <c r="F85" s="383"/>
      <c r="G85" s="383"/>
    </row>
    <row r="86" ht="16" customHeight="1">
      <c r="A86" s="409">
        <v>0.01</v>
      </c>
      <c r="B86" t="s" s="384">
        <v>689</v>
      </c>
      <c r="C86" s="408">
        <f>C81*A86</f>
        <v>10230</v>
      </c>
      <c r="D86" s="383"/>
      <c r="E86" s="383"/>
      <c r="F86" s="383"/>
      <c r="G86" s="383"/>
    </row>
    <row r="87" ht="16" customHeight="1">
      <c r="A87" s="401"/>
      <c r="B87" s="387"/>
      <c r="C87" s="387"/>
      <c r="D87" s="387"/>
      <c r="E87" s="387"/>
      <c r="F87" s="387"/>
      <c r="G87" s="387"/>
    </row>
    <row r="88" ht="15.65" customHeight="1">
      <c r="A88" s="410"/>
      <c r="B88" s="410"/>
      <c r="C88" s="410"/>
      <c r="D88" s="410"/>
      <c r="E88" s="410"/>
      <c r="F88" s="410"/>
      <c r="G88" s="410"/>
    </row>
    <row r="89" ht="12.75" customHeight="1" hidden="1">
      <c r="A89" s="367"/>
      <c r="B89" s="367"/>
      <c r="C89" s="367"/>
      <c r="D89" s="367"/>
      <c r="E89" s="367"/>
      <c r="F89" s="367"/>
      <c r="G89" s="367"/>
    </row>
    <row r="90" ht="12.75" customHeight="1" hidden="1">
      <c r="A90" s="367"/>
      <c r="B90" s="367"/>
      <c r="C90" s="367"/>
      <c r="D90" s="367"/>
      <c r="E90" s="367"/>
      <c r="F90" s="367"/>
      <c r="G90" s="367"/>
    </row>
    <row r="91" ht="12.75" customHeight="1" hidden="1">
      <c r="A91" s="367"/>
      <c r="B91" s="367"/>
      <c r="C91" s="367"/>
      <c r="D91" s="367"/>
      <c r="E91" s="367"/>
      <c r="F91" s="367"/>
      <c r="G91" s="367"/>
    </row>
    <row r="92" ht="12.75" customHeight="1" hidden="1">
      <c r="A92" s="367"/>
      <c r="B92" s="367"/>
      <c r="C92" s="367"/>
      <c r="D92" s="367"/>
      <c r="E92" s="367"/>
      <c r="F92" s="367"/>
      <c r="G92" s="367"/>
    </row>
    <row r="93" ht="12.75" customHeight="1" hidden="1">
      <c r="A93" s="367"/>
      <c r="B93" s="367"/>
      <c r="C93" s="367"/>
      <c r="D93" s="367"/>
      <c r="E93" s="367"/>
      <c r="F93" s="367"/>
      <c r="G93" s="367"/>
    </row>
    <row r="94" ht="12.75" customHeight="1" hidden="1">
      <c r="A94" s="367"/>
      <c r="B94" s="367"/>
      <c r="C94" s="367"/>
      <c r="D94" s="367"/>
      <c r="E94" s="367"/>
      <c r="F94" s="367"/>
      <c r="G94" s="367"/>
    </row>
    <row r="95" ht="12.75" customHeight="1" hidden="1">
      <c r="A95" s="367"/>
      <c r="B95" s="367"/>
      <c r="C95" s="367"/>
      <c r="D95" s="367"/>
      <c r="E95" s="367"/>
      <c r="F95" s="367"/>
      <c r="G95" s="367"/>
    </row>
    <row r="96" ht="12.75" customHeight="1" hidden="1">
      <c r="A96" s="367"/>
      <c r="B96" s="367"/>
      <c r="C96" s="367"/>
      <c r="D96" s="367"/>
      <c r="E96" s="367"/>
      <c r="F96" s="367"/>
      <c r="G96" s="367"/>
    </row>
    <row r="97" ht="12.75" customHeight="1" hidden="1">
      <c r="A97" s="367"/>
      <c r="B97" s="367"/>
      <c r="C97" s="367"/>
      <c r="D97" s="367"/>
      <c r="E97" s="367"/>
      <c r="F97" s="367"/>
      <c r="G97" s="367"/>
    </row>
    <row r="98" ht="12.75" customHeight="1" hidden="1">
      <c r="A98" s="367"/>
      <c r="B98" s="367"/>
      <c r="C98" s="367"/>
      <c r="D98" s="367"/>
      <c r="E98" s="367"/>
      <c r="F98" s="367"/>
      <c r="G98" s="367"/>
    </row>
    <row r="99" ht="12.75" customHeight="1" hidden="1">
      <c r="A99" s="367"/>
      <c r="B99" s="367"/>
      <c r="C99" s="367"/>
      <c r="D99" s="367"/>
      <c r="E99" s="367"/>
      <c r="F99" s="367"/>
      <c r="G99" s="367"/>
    </row>
    <row r="100" ht="12.75" customHeight="1" hidden="1">
      <c r="A100" s="367"/>
      <c r="B100" s="367"/>
      <c r="C100" s="367"/>
      <c r="D100" s="367"/>
      <c r="E100" s="367"/>
      <c r="F100" s="367"/>
      <c r="G100" s="367"/>
    </row>
    <row r="101" ht="12.75" customHeight="1" hidden="1">
      <c r="A101" s="367"/>
      <c r="B101" s="367"/>
      <c r="C101" s="367"/>
      <c r="D101" s="367"/>
      <c r="E101" s="367"/>
      <c r="F101" s="367"/>
      <c r="G101" s="367"/>
    </row>
    <row r="102" ht="12.75" customHeight="1" hidden="1">
      <c r="A102" s="367"/>
      <c r="B102" s="367"/>
      <c r="C102" s="367"/>
      <c r="D102" s="367"/>
      <c r="E102" s="367"/>
      <c r="F102" s="367"/>
      <c r="G102" s="367"/>
    </row>
    <row r="103" ht="12.75" customHeight="1" hidden="1">
      <c r="A103" s="367"/>
      <c r="B103" s="367"/>
      <c r="C103" s="367"/>
      <c r="D103" s="367"/>
      <c r="E103" s="367"/>
      <c r="F103" s="367"/>
      <c r="G103" s="367"/>
    </row>
    <row r="104" ht="12.75" customHeight="1" hidden="1">
      <c r="A104" s="367"/>
      <c r="B104" s="367"/>
      <c r="C104" s="367"/>
      <c r="D104" s="367"/>
      <c r="E104" s="367"/>
      <c r="F104" s="367"/>
      <c r="G104" s="367"/>
    </row>
    <row r="105" ht="12.75" customHeight="1" hidden="1">
      <c r="A105" s="367"/>
      <c r="B105" s="367"/>
      <c r="C105" s="367"/>
      <c r="D105" s="367"/>
      <c r="E105" s="367"/>
      <c r="F105" s="367"/>
      <c r="G105" s="367"/>
    </row>
    <row r="106" ht="12.75" customHeight="1" hidden="1">
      <c r="A106" s="367"/>
      <c r="B106" s="367"/>
      <c r="C106" s="367"/>
      <c r="D106" s="367"/>
      <c r="E106" s="367"/>
      <c r="F106" s="367"/>
      <c r="G106" s="367"/>
    </row>
    <row r="107" ht="12.75" customHeight="1" hidden="1">
      <c r="A107" s="367"/>
      <c r="B107" s="367"/>
      <c r="C107" s="367"/>
      <c r="D107" s="367"/>
      <c r="E107" s="367"/>
      <c r="F107" s="367"/>
      <c r="G107" s="367"/>
    </row>
    <row r="108" ht="12.75" customHeight="1" hidden="1">
      <c r="A108" s="367"/>
      <c r="B108" s="367"/>
      <c r="C108" s="367"/>
      <c r="D108" s="367"/>
      <c r="E108" s="367"/>
      <c r="F108" s="367"/>
      <c r="G108" s="367"/>
    </row>
    <row r="109" ht="12.75" customHeight="1" hidden="1">
      <c r="A109" s="367"/>
      <c r="B109" s="367"/>
      <c r="C109" s="367"/>
      <c r="D109" s="367"/>
      <c r="E109" s="367"/>
      <c r="F109" s="367"/>
      <c r="G109" s="367"/>
    </row>
    <row r="110" ht="12.75" customHeight="1" hidden="1">
      <c r="A110" s="367"/>
      <c r="B110" s="367"/>
      <c r="C110" s="367"/>
      <c r="D110" s="367"/>
      <c r="E110" s="367"/>
      <c r="F110" s="367"/>
      <c r="G110" s="367"/>
    </row>
    <row r="111" ht="12.75" customHeight="1" hidden="1">
      <c r="A111" s="367"/>
      <c r="B111" s="367"/>
      <c r="C111" s="367"/>
      <c r="D111" s="367"/>
      <c r="E111" s="367"/>
      <c r="F111" s="367"/>
      <c r="G111" s="367"/>
    </row>
    <row r="112" ht="12.75" customHeight="1" hidden="1">
      <c r="A112" s="367"/>
      <c r="B112" s="367"/>
      <c r="C112" s="367"/>
      <c r="D112" s="367"/>
      <c r="E112" s="367"/>
      <c r="F112" s="367"/>
      <c r="G112" s="367"/>
    </row>
    <row r="113" ht="12.75" customHeight="1" hidden="1">
      <c r="A113" s="367"/>
      <c r="B113" s="367"/>
      <c r="C113" s="367"/>
      <c r="D113" s="367"/>
      <c r="E113" s="367"/>
      <c r="F113" s="367"/>
      <c r="G113" s="367"/>
    </row>
    <row r="114" ht="12.75" customHeight="1" hidden="1">
      <c r="A114" s="367"/>
      <c r="B114" s="367"/>
      <c r="C114" s="367"/>
      <c r="D114" s="367"/>
      <c r="E114" s="367"/>
      <c r="F114" s="367"/>
      <c r="G114" s="367"/>
    </row>
    <row r="115" ht="12.75" customHeight="1" hidden="1">
      <c r="A115" s="367"/>
      <c r="B115" s="367"/>
      <c r="C115" s="367"/>
      <c r="D115" s="367"/>
      <c r="E115" s="367"/>
      <c r="F115" s="367"/>
      <c r="G115" s="367"/>
    </row>
    <row r="116" ht="12.75" customHeight="1" hidden="1">
      <c r="A116" s="367"/>
      <c r="B116" s="367"/>
      <c r="C116" s="367"/>
      <c r="D116" s="367"/>
      <c r="E116" s="367"/>
      <c r="F116" s="367"/>
      <c r="G116" s="367"/>
    </row>
    <row r="117" ht="12.75" customHeight="1" hidden="1">
      <c r="A117" s="367"/>
      <c r="B117" s="367"/>
      <c r="C117" s="367"/>
      <c r="D117" s="367"/>
      <c r="E117" s="367"/>
      <c r="F117" s="367"/>
      <c r="G117" s="367"/>
    </row>
    <row r="118" ht="12.75" customHeight="1" hidden="1">
      <c r="A118" s="367"/>
      <c r="B118" s="367"/>
      <c r="C118" s="367"/>
      <c r="D118" s="367"/>
      <c r="E118" s="367"/>
      <c r="F118" s="367"/>
      <c r="G118" s="367"/>
    </row>
    <row r="119" ht="12.75" customHeight="1" hidden="1">
      <c r="A119" s="367"/>
      <c r="B119" s="367"/>
      <c r="C119" s="367"/>
      <c r="D119" s="367"/>
      <c r="E119" s="367"/>
      <c r="F119" s="367"/>
      <c r="G119" s="367"/>
    </row>
    <row r="120" ht="12.75" customHeight="1" hidden="1">
      <c r="A120" s="367"/>
      <c r="B120" s="367"/>
      <c r="C120" s="367"/>
      <c r="D120" s="367"/>
      <c r="E120" s="367"/>
      <c r="F120" s="367"/>
      <c r="G120" s="367"/>
    </row>
    <row r="121" ht="12.75" customHeight="1" hidden="1">
      <c r="A121" s="367"/>
      <c r="B121" s="367"/>
      <c r="C121" s="367"/>
      <c r="D121" s="367"/>
      <c r="E121" s="367"/>
      <c r="F121" s="367"/>
      <c r="G121" s="367"/>
    </row>
    <row r="122" ht="12.75" customHeight="1" hidden="1">
      <c r="A122" s="367"/>
      <c r="B122" s="367"/>
      <c r="C122" s="367"/>
      <c r="D122" s="367"/>
      <c r="E122" s="367"/>
      <c r="F122" s="367"/>
      <c r="G122" s="367"/>
    </row>
    <row r="123" ht="12.75" customHeight="1" hidden="1">
      <c r="A123" s="367"/>
      <c r="B123" s="367"/>
      <c r="C123" s="367"/>
      <c r="D123" s="367"/>
      <c r="E123" s="367"/>
      <c r="F123" s="367"/>
      <c r="G123" s="367"/>
    </row>
    <row r="124" ht="12.75" customHeight="1" hidden="1">
      <c r="A124" s="367"/>
      <c r="B124" s="367"/>
      <c r="C124" s="367"/>
      <c r="D124" s="367"/>
      <c r="E124" s="367"/>
      <c r="F124" s="367"/>
      <c r="G124" s="367"/>
    </row>
    <row r="125" ht="12.75" customHeight="1" hidden="1">
      <c r="A125" s="367"/>
      <c r="B125" s="367"/>
      <c r="C125" s="367"/>
      <c r="D125" s="367"/>
      <c r="E125" s="367"/>
      <c r="F125" s="367"/>
      <c r="G125" s="367"/>
    </row>
    <row r="126" ht="12.75" customHeight="1" hidden="1">
      <c r="A126" s="367"/>
      <c r="B126" s="367"/>
      <c r="C126" s="367"/>
      <c r="D126" s="367"/>
      <c r="E126" s="367"/>
      <c r="F126" s="367"/>
      <c r="G126" s="367"/>
    </row>
    <row r="127" ht="12.75" customHeight="1" hidden="1">
      <c r="A127" s="367"/>
      <c r="B127" s="367"/>
      <c r="C127" s="367"/>
      <c r="D127" s="367"/>
      <c r="E127" s="367"/>
      <c r="F127" s="367"/>
      <c r="G127" s="367"/>
    </row>
    <row r="128" ht="12.75" customHeight="1" hidden="1">
      <c r="A128" s="367"/>
      <c r="B128" s="367"/>
      <c r="C128" s="367"/>
      <c r="D128" s="367"/>
      <c r="E128" s="367"/>
      <c r="F128" s="367"/>
      <c r="G128" s="367"/>
    </row>
    <row r="129" ht="12.75" customHeight="1" hidden="1">
      <c r="A129" s="367"/>
      <c r="B129" s="367"/>
      <c r="C129" s="367"/>
      <c r="D129" s="367"/>
      <c r="E129" s="367"/>
      <c r="F129" s="367"/>
      <c r="G129" s="367"/>
    </row>
    <row r="130" ht="12.75" customHeight="1" hidden="1">
      <c r="A130" s="367"/>
      <c r="B130" s="367"/>
      <c r="C130" s="367"/>
      <c r="D130" s="367"/>
      <c r="E130" s="367"/>
      <c r="F130" s="367"/>
      <c r="G130" s="367"/>
    </row>
    <row r="131" ht="12.75" customHeight="1" hidden="1">
      <c r="A131" s="367"/>
      <c r="B131" s="367"/>
      <c r="C131" s="367"/>
      <c r="D131" s="367"/>
      <c r="E131" s="367"/>
      <c r="F131" s="367"/>
      <c r="G131" s="367"/>
    </row>
    <row r="132" ht="12.75" customHeight="1" hidden="1">
      <c r="A132" s="367"/>
      <c r="B132" s="367"/>
      <c r="C132" s="367"/>
      <c r="D132" s="367"/>
      <c r="E132" s="367"/>
      <c r="F132" s="367"/>
      <c r="G132" s="367"/>
    </row>
    <row r="133" ht="12.75" customHeight="1" hidden="1">
      <c r="A133" s="367"/>
      <c r="B133" s="367"/>
      <c r="C133" s="367"/>
      <c r="D133" s="367"/>
      <c r="E133" s="367"/>
      <c r="F133" s="367"/>
      <c r="G133" s="367"/>
    </row>
    <row r="134" ht="12.75" customHeight="1" hidden="1">
      <c r="A134" s="367"/>
      <c r="B134" s="367"/>
      <c r="C134" s="367"/>
      <c r="D134" s="367"/>
      <c r="E134" s="367"/>
      <c r="F134" s="367"/>
      <c r="G134" s="367"/>
    </row>
    <row r="135" ht="12.75" customHeight="1" hidden="1">
      <c r="A135" s="367"/>
      <c r="B135" s="367"/>
      <c r="C135" s="367"/>
      <c r="D135" s="367"/>
      <c r="E135" s="367"/>
      <c r="F135" s="367"/>
      <c r="G135" s="367"/>
    </row>
    <row r="136" ht="12.75" customHeight="1" hidden="1">
      <c r="A136" s="367"/>
      <c r="B136" s="367"/>
      <c r="C136" s="367"/>
      <c r="D136" s="367"/>
      <c r="E136" s="367"/>
      <c r="F136" s="367"/>
      <c r="G136" s="367"/>
    </row>
    <row r="137" ht="12.75" customHeight="1" hidden="1">
      <c r="A137" s="367"/>
      <c r="B137" s="367"/>
      <c r="C137" s="367"/>
      <c r="D137" s="367"/>
      <c r="E137" s="367"/>
      <c r="F137" s="367"/>
      <c r="G137" s="367"/>
    </row>
    <row r="138" ht="12.75" customHeight="1" hidden="1">
      <c r="A138" s="367"/>
      <c r="B138" s="367"/>
      <c r="C138" s="367"/>
      <c r="D138" s="367"/>
      <c r="E138" s="367"/>
      <c r="F138" s="367"/>
      <c r="G138" s="367"/>
    </row>
    <row r="139" ht="12.75" customHeight="1" hidden="1">
      <c r="A139" s="367"/>
      <c r="B139" s="367"/>
      <c r="C139" s="367"/>
      <c r="D139" s="367"/>
      <c r="E139" s="367"/>
      <c r="F139" s="367"/>
      <c r="G139" s="367"/>
    </row>
    <row r="140" ht="12.75" customHeight="1" hidden="1">
      <c r="A140" s="367"/>
      <c r="B140" s="367"/>
      <c r="C140" s="367"/>
      <c r="D140" s="367"/>
      <c r="E140" s="367"/>
      <c r="F140" s="367"/>
      <c r="G140" s="367"/>
    </row>
    <row r="141" ht="12.75" customHeight="1" hidden="1">
      <c r="A141" s="367"/>
      <c r="B141" s="367"/>
      <c r="C141" s="367"/>
      <c r="D141" s="367"/>
      <c r="E141" s="367"/>
      <c r="F141" s="367"/>
      <c r="G141" s="367"/>
    </row>
    <row r="142" ht="12.75" customHeight="1" hidden="1">
      <c r="A142" s="367"/>
      <c r="B142" s="367"/>
      <c r="C142" s="367"/>
      <c r="D142" s="367"/>
      <c r="E142" s="367"/>
      <c r="F142" s="367"/>
      <c r="G142" s="367"/>
    </row>
    <row r="143" ht="12.75" customHeight="1" hidden="1">
      <c r="A143" s="367"/>
      <c r="B143" s="367"/>
      <c r="C143" s="367"/>
      <c r="D143" s="367"/>
      <c r="E143" s="367"/>
      <c r="F143" s="367"/>
      <c r="G143" s="367"/>
    </row>
    <row r="144" ht="12.75" customHeight="1" hidden="1">
      <c r="A144" s="367"/>
      <c r="B144" s="367"/>
      <c r="C144" s="367"/>
      <c r="D144" s="367"/>
      <c r="E144" s="367"/>
      <c r="F144" s="367"/>
      <c r="G144" s="367"/>
    </row>
    <row r="145" ht="12.75" customHeight="1" hidden="1">
      <c r="A145" s="367"/>
      <c r="B145" s="367"/>
      <c r="C145" s="367"/>
      <c r="D145" s="367"/>
      <c r="E145" s="367"/>
      <c r="F145" s="367"/>
      <c r="G145" s="367"/>
    </row>
    <row r="146" ht="12.75" customHeight="1" hidden="1">
      <c r="A146" s="367"/>
      <c r="B146" s="367"/>
      <c r="C146" s="367"/>
      <c r="D146" s="367"/>
      <c r="E146" s="367"/>
      <c r="F146" s="367"/>
      <c r="G146" s="367"/>
    </row>
    <row r="147" ht="12.75" customHeight="1" hidden="1">
      <c r="A147" s="367"/>
      <c r="B147" s="367"/>
      <c r="C147" s="367"/>
      <c r="D147" s="367"/>
      <c r="E147" s="367"/>
      <c r="F147" s="367"/>
      <c r="G147" s="367"/>
    </row>
    <row r="148" ht="12.75" customHeight="1" hidden="1">
      <c r="A148" s="367"/>
      <c r="B148" s="367"/>
      <c r="C148" s="367"/>
      <c r="D148" s="367"/>
      <c r="E148" s="367"/>
      <c r="F148" s="367"/>
      <c r="G148" s="367"/>
    </row>
    <row r="149" ht="12.75" customHeight="1" hidden="1">
      <c r="A149" s="367"/>
      <c r="B149" s="367"/>
      <c r="C149" s="367"/>
      <c r="D149" s="367"/>
      <c r="E149" s="367"/>
      <c r="F149" s="367"/>
      <c r="G149" s="367"/>
    </row>
    <row r="150" ht="12.75" customHeight="1" hidden="1">
      <c r="A150" s="367"/>
      <c r="B150" s="367"/>
      <c r="C150" s="367"/>
      <c r="D150" s="367"/>
      <c r="E150" s="367"/>
      <c r="F150" s="367"/>
      <c r="G150" s="367"/>
    </row>
    <row r="151" ht="12.75" customHeight="1" hidden="1">
      <c r="A151" s="367"/>
      <c r="B151" s="367"/>
      <c r="C151" s="367"/>
      <c r="D151" s="367"/>
      <c r="E151" s="367"/>
      <c r="F151" s="367"/>
      <c r="G151" s="367"/>
    </row>
    <row r="152" ht="12.75" customHeight="1" hidden="1">
      <c r="A152" s="367"/>
      <c r="B152" s="367"/>
      <c r="C152" s="367"/>
      <c r="D152" s="367"/>
      <c r="E152" s="367"/>
      <c r="F152" s="367"/>
      <c r="G152" s="367"/>
    </row>
    <row r="153" ht="12.75" customHeight="1" hidden="1">
      <c r="A153" s="367"/>
      <c r="B153" s="367"/>
      <c r="C153" s="367"/>
      <c r="D153" s="367"/>
      <c r="E153" s="367"/>
      <c r="F153" s="367"/>
      <c r="G153" s="367"/>
    </row>
    <row r="154" ht="12.75" customHeight="1" hidden="1">
      <c r="A154" s="367"/>
      <c r="B154" s="367"/>
      <c r="C154" s="367"/>
      <c r="D154" s="367"/>
      <c r="E154" s="367"/>
      <c r="F154" s="367"/>
      <c r="G154" s="367"/>
    </row>
    <row r="155" ht="12.75" customHeight="1" hidden="1">
      <c r="A155" s="367"/>
      <c r="B155" s="367"/>
      <c r="C155" s="367"/>
      <c r="D155" s="367"/>
      <c r="E155" s="367"/>
      <c r="F155" s="367"/>
      <c r="G155" s="367"/>
    </row>
    <row r="156" ht="12.75" customHeight="1" hidden="1">
      <c r="A156" s="367"/>
      <c r="B156" s="367"/>
      <c r="C156" s="367"/>
      <c r="D156" s="367"/>
      <c r="E156" s="367"/>
      <c r="F156" s="367"/>
      <c r="G156" s="367"/>
    </row>
    <row r="157" ht="12.75" customHeight="1" hidden="1">
      <c r="A157" s="367"/>
      <c r="B157" s="367"/>
      <c r="C157" s="367"/>
      <c r="D157" s="367"/>
      <c r="E157" s="367"/>
      <c r="F157" s="367"/>
      <c r="G157" s="367"/>
    </row>
    <row r="158" ht="12.75" customHeight="1" hidden="1">
      <c r="A158" s="367"/>
      <c r="B158" s="367"/>
      <c r="C158" s="367"/>
      <c r="D158" s="367"/>
      <c r="E158" s="367"/>
      <c r="F158" s="367"/>
      <c r="G158" s="367"/>
    </row>
    <row r="159" ht="12.75" customHeight="1" hidden="1">
      <c r="A159" s="367"/>
      <c r="B159" s="367"/>
      <c r="C159" s="367"/>
      <c r="D159" s="367"/>
      <c r="E159" s="367"/>
      <c r="F159" s="367"/>
      <c r="G159" s="367"/>
    </row>
    <row r="160" ht="12.75" customHeight="1" hidden="1">
      <c r="A160" s="367"/>
      <c r="B160" s="367"/>
      <c r="C160" s="367"/>
      <c r="D160" s="367"/>
      <c r="E160" s="367"/>
      <c r="F160" s="367"/>
      <c r="G160" s="367"/>
    </row>
    <row r="161" ht="12.75" customHeight="1" hidden="1">
      <c r="A161" s="367"/>
      <c r="B161" s="367"/>
      <c r="C161" s="367"/>
      <c r="D161" s="367"/>
      <c r="E161" s="367"/>
      <c r="F161" s="367"/>
      <c r="G161" s="367"/>
    </row>
    <row r="162" ht="12.75" customHeight="1" hidden="1">
      <c r="A162" s="367"/>
      <c r="B162" s="367"/>
      <c r="C162" s="367"/>
      <c r="D162" s="367"/>
      <c r="E162" s="367"/>
      <c r="F162" s="367"/>
      <c r="G162" s="367"/>
    </row>
    <row r="163" ht="12.75" customHeight="1" hidden="1">
      <c r="A163" s="367"/>
      <c r="B163" s="367"/>
      <c r="C163" s="367"/>
      <c r="D163" s="367"/>
      <c r="E163" s="367"/>
      <c r="F163" s="367"/>
      <c r="G163" s="367"/>
    </row>
    <row r="164" ht="12.75" customHeight="1" hidden="1">
      <c r="A164" s="367"/>
      <c r="B164" s="367"/>
      <c r="C164" s="367"/>
      <c r="D164" s="367"/>
      <c r="E164" s="367"/>
      <c r="F164" s="367"/>
      <c r="G164" s="367"/>
    </row>
    <row r="165" ht="12.75" customHeight="1" hidden="1">
      <c r="A165" s="367"/>
      <c r="B165" s="367"/>
      <c r="C165" s="367"/>
      <c r="D165" s="367"/>
      <c r="E165" s="367"/>
      <c r="F165" s="367"/>
      <c r="G165" s="367"/>
    </row>
    <row r="166" ht="12.75" customHeight="1" hidden="1">
      <c r="A166" s="367"/>
      <c r="B166" s="367"/>
      <c r="C166" s="367"/>
      <c r="D166" s="367"/>
      <c r="E166" s="367"/>
      <c r="F166" s="367"/>
      <c r="G166" s="367"/>
    </row>
    <row r="167" ht="12.75" customHeight="1" hidden="1">
      <c r="A167" s="367"/>
      <c r="B167" s="367"/>
      <c r="C167" s="367"/>
      <c r="D167" s="367"/>
      <c r="E167" s="367"/>
      <c r="F167" s="367"/>
      <c r="G167" s="367"/>
    </row>
    <row r="168" ht="12.75" customHeight="1" hidden="1">
      <c r="A168" s="367"/>
      <c r="B168" s="367"/>
      <c r="C168" s="367"/>
      <c r="D168" s="367"/>
      <c r="E168" s="367"/>
      <c r="F168" s="367"/>
      <c r="G168" s="367"/>
    </row>
    <row r="169" ht="12.75" customHeight="1" hidden="1">
      <c r="A169" s="367"/>
      <c r="B169" s="367"/>
      <c r="C169" s="367"/>
      <c r="D169" s="367"/>
      <c r="E169" s="367"/>
      <c r="F169" s="367"/>
      <c r="G169" s="367"/>
    </row>
    <row r="170" ht="12.75" customHeight="1" hidden="1">
      <c r="A170" s="367"/>
      <c r="B170" s="367"/>
      <c r="C170" s="367"/>
      <c r="D170" s="367"/>
      <c r="E170" s="367"/>
      <c r="F170" s="367"/>
      <c r="G170" s="367"/>
    </row>
    <row r="171" ht="12.75" customHeight="1" hidden="1">
      <c r="A171" s="367"/>
      <c r="B171" s="367"/>
      <c r="C171" s="367"/>
      <c r="D171" s="367"/>
      <c r="E171" s="367"/>
      <c r="F171" s="367"/>
      <c r="G171" s="367"/>
    </row>
    <row r="172" ht="12.75" customHeight="1" hidden="1">
      <c r="A172" s="367"/>
      <c r="B172" s="367"/>
      <c r="C172" s="367"/>
      <c r="D172" s="367"/>
      <c r="E172" s="367"/>
      <c r="F172" s="367"/>
      <c r="G172" s="367"/>
    </row>
    <row r="173" ht="12.75" customHeight="1" hidden="1">
      <c r="A173" s="367"/>
      <c r="B173" s="367"/>
      <c r="C173" s="367"/>
      <c r="D173" s="367"/>
      <c r="E173" s="367"/>
      <c r="F173" s="367"/>
      <c r="G173" s="367"/>
    </row>
    <row r="174" ht="12.75" customHeight="1" hidden="1">
      <c r="A174" s="367"/>
      <c r="B174" s="367"/>
      <c r="C174" s="367"/>
      <c r="D174" s="367"/>
      <c r="E174" s="367"/>
      <c r="F174" s="367"/>
      <c r="G174" s="367"/>
    </row>
    <row r="175" ht="12.75" customHeight="1" hidden="1">
      <c r="A175" s="367"/>
      <c r="B175" s="367"/>
      <c r="C175" s="367"/>
      <c r="D175" s="367"/>
      <c r="E175" s="367"/>
      <c r="F175" s="367"/>
      <c r="G175" s="367"/>
    </row>
    <row r="176" ht="12.75" customHeight="1" hidden="1">
      <c r="A176" s="367"/>
      <c r="B176" s="367"/>
      <c r="C176" s="367"/>
      <c r="D176" s="367"/>
      <c r="E176" s="367"/>
      <c r="F176" s="367"/>
      <c r="G176" s="367"/>
    </row>
    <row r="177" ht="12.75" customHeight="1" hidden="1">
      <c r="A177" s="367"/>
      <c r="B177" s="367"/>
      <c r="C177" s="367"/>
      <c r="D177" s="367"/>
      <c r="E177" s="367"/>
      <c r="F177" s="367"/>
      <c r="G177" s="367"/>
    </row>
    <row r="178" ht="12.75" customHeight="1" hidden="1">
      <c r="A178" s="367"/>
      <c r="B178" s="367"/>
      <c r="C178" s="367"/>
      <c r="D178" s="367"/>
      <c r="E178" s="367"/>
      <c r="F178" s="367"/>
      <c r="G178" s="367"/>
    </row>
    <row r="179" ht="12.75" customHeight="1" hidden="1">
      <c r="A179" s="367"/>
      <c r="B179" s="367"/>
      <c r="C179" s="367"/>
      <c r="D179" s="367"/>
      <c r="E179" s="367"/>
      <c r="F179" s="367"/>
      <c r="G179" s="367"/>
    </row>
    <row r="180" ht="12.75" customHeight="1" hidden="1">
      <c r="A180" s="367"/>
      <c r="B180" s="367"/>
      <c r="C180" s="367"/>
      <c r="D180" s="367"/>
      <c r="E180" s="367"/>
      <c r="F180" s="367"/>
      <c r="G180" s="367"/>
    </row>
    <row r="181" ht="12.75" customHeight="1" hidden="1">
      <c r="A181" s="367"/>
      <c r="B181" s="367"/>
      <c r="C181" s="367"/>
      <c r="D181" s="367"/>
      <c r="E181" s="367"/>
      <c r="F181" s="367"/>
      <c r="G181" s="367"/>
    </row>
    <row r="182" ht="12.75" customHeight="1" hidden="1">
      <c r="A182" s="367"/>
      <c r="B182" s="367"/>
      <c r="C182" s="367"/>
      <c r="D182" s="367"/>
      <c r="E182" s="367"/>
      <c r="F182" s="367"/>
      <c r="G182" s="367"/>
    </row>
    <row r="183" ht="12.75" customHeight="1" hidden="1">
      <c r="A183" s="367"/>
      <c r="B183" s="367"/>
      <c r="C183" s="367"/>
      <c r="D183" s="367"/>
      <c r="E183" s="367"/>
      <c r="F183" s="367"/>
      <c r="G183" s="367"/>
    </row>
    <row r="184" ht="12.75" customHeight="1" hidden="1">
      <c r="A184" s="367"/>
      <c r="B184" s="367"/>
      <c r="C184" s="367"/>
      <c r="D184" s="367"/>
      <c r="E184" s="367"/>
      <c r="F184" s="367"/>
      <c r="G184" s="367"/>
    </row>
    <row r="185" ht="12.75" customHeight="1" hidden="1">
      <c r="A185" s="367"/>
      <c r="B185" s="367"/>
      <c r="C185" s="367"/>
      <c r="D185" s="367"/>
      <c r="E185" s="367"/>
      <c r="F185" s="367"/>
      <c r="G185" s="367"/>
    </row>
    <row r="186" ht="12.75" customHeight="1" hidden="1">
      <c r="A186" s="367"/>
      <c r="B186" s="367"/>
      <c r="C186" s="367"/>
      <c r="D186" s="367"/>
      <c r="E186" s="367"/>
      <c r="F186" s="367"/>
      <c r="G186" s="367"/>
    </row>
    <row r="187" ht="12.75" customHeight="1" hidden="1">
      <c r="A187" s="367"/>
      <c r="B187" s="367"/>
      <c r="C187" s="367"/>
      <c r="D187" s="367"/>
      <c r="E187" s="367"/>
      <c r="F187" s="367"/>
      <c r="G187" s="367"/>
    </row>
    <row r="188" ht="12.75" customHeight="1" hidden="1">
      <c r="A188" s="367"/>
      <c r="B188" s="367"/>
      <c r="C188" s="367"/>
      <c r="D188" s="367"/>
      <c r="E188" s="367"/>
      <c r="F188" s="367"/>
      <c r="G188" s="367"/>
    </row>
    <row r="189" ht="12.75" customHeight="1" hidden="1">
      <c r="A189" s="367"/>
      <c r="B189" s="367"/>
      <c r="C189" s="367"/>
      <c r="D189" s="367"/>
      <c r="E189" s="367"/>
      <c r="F189" s="367"/>
      <c r="G189" s="367"/>
    </row>
    <row r="190" ht="12.75" customHeight="1" hidden="1">
      <c r="A190" s="367"/>
      <c r="B190" s="367"/>
      <c r="C190" s="367"/>
      <c r="D190" s="367"/>
      <c r="E190" s="367"/>
      <c r="F190" s="367"/>
      <c r="G190" s="367"/>
    </row>
    <row r="191" ht="12.75" customHeight="1" hidden="1">
      <c r="A191" s="367"/>
      <c r="B191" s="367"/>
      <c r="C191" s="367"/>
      <c r="D191" s="367"/>
      <c r="E191" s="367"/>
      <c r="F191" s="367"/>
      <c r="G191" s="367"/>
    </row>
    <row r="192" ht="12.75" customHeight="1" hidden="1">
      <c r="A192" s="367"/>
      <c r="B192" s="367"/>
      <c r="C192" s="367"/>
      <c r="D192" s="367"/>
      <c r="E192" s="367"/>
      <c r="F192" s="367"/>
      <c r="G192" s="367"/>
    </row>
    <row r="193" ht="12.75" customHeight="1" hidden="1">
      <c r="A193" s="367"/>
      <c r="B193" s="367"/>
      <c r="C193" s="367"/>
      <c r="D193" s="367"/>
      <c r="E193" s="367"/>
      <c r="F193" s="367"/>
      <c r="G193" s="367"/>
    </row>
    <row r="194" ht="12.75" customHeight="1" hidden="1">
      <c r="A194" s="367"/>
      <c r="B194" s="367"/>
      <c r="C194" s="367"/>
      <c r="D194" s="367"/>
      <c r="E194" s="367"/>
      <c r="F194" s="367"/>
      <c r="G194" s="367"/>
    </row>
    <row r="195" ht="12.75" customHeight="1" hidden="1">
      <c r="A195" s="367"/>
      <c r="B195" s="367"/>
      <c r="C195" s="367"/>
      <c r="D195" s="367"/>
      <c r="E195" s="367"/>
      <c r="F195" s="367"/>
      <c r="G195" s="367"/>
    </row>
    <row r="196" ht="12.75" customHeight="1" hidden="1">
      <c r="A196" s="367"/>
      <c r="B196" s="367"/>
      <c r="C196" s="367"/>
      <c r="D196" s="367"/>
      <c r="E196" s="367"/>
      <c r="F196" s="367"/>
      <c r="G196" s="367"/>
    </row>
    <row r="197" ht="12.75" customHeight="1" hidden="1">
      <c r="A197" s="367"/>
      <c r="B197" s="367"/>
      <c r="C197" s="367"/>
      <c r="D197" s="367"/>
      <c r="E197" s="367"/>
      <c r="F197" s="367"/>
      <c r="G197" s="367"/>
    </row>
    <row r="198" ht="12.75" customHeight="1" hidden="1">
      <c r="A198" s="367"/>
      <c r="B198" s="367"/>
      <c r="C198" s="367"/>
      <c r="D198" s="367"/>
      <c r="E198" s="367"/>
      <c r="F198" s="367"/>
      <c r="G198" s="367"/>
    </row>
    <row r="199" ht="12.75" customHeight="1" hidden="1">
      <c r="A199" s="367"/>
      <c r="B199" s="367"/>
      <c r="C199" s="367"/>
      <c r="D199" s="367"/>
      <c r="E199" s="367"/>
      <c r="F199" s="367"/>
      <c r="G199" s="367"/>
    </row>
    <row r="200" ht="12.75" customHeight="1" hidden="1">
      <c r="A200" s="367"/>
      <c r="B200" s="367"/>
      <c r="C200" s="367"/>
      <c r="D200" s="367"/>
      <c r="E200" s="367"/>
      <c r="F200" s="367"/>
      <c r="G200" s="367"/>
    </row>
    <row r="201" ht="12.75" customHeight="1" hidden="1">
      <c r="A201" s="367"/>
      <c r="B201" s="367"/>
      <c r="C201" s="367"/>
      <c r="D201" s="367"/>
      <c r="E201" s="367"/>
      <c r="F201" s="367"/>
      <c r="G201" s="367"/>
    </row>
    <row r="202" ht="12.75" customHeight="1" hidden="1">
      <c r="A202" s="367"/>
      <c r="B202" s="367"/>
      <c r="C202" s="367"/>
      <c r="D202" s="367"/>
      <c r="E202" s="367"/>
      <c r="F202" s="367"/>
      <c r="G202" s="367"/>
    </row>
    <row r="203" ht="12.75" customHeight="1" hidden="1">
      <c r="A203" s="367"/>
      <c r="B203" s="367"/>
      <c r="C203" s="367"/>
      <c r="D203" s="367"/>
      <c r="E203" s="367"/>
      <c r="F203" s="367"/>
      <c r="G203" s="367"/>
    </row>
    <row r="204" ht="12.75" customHeight="1" hidden="1">
      <c r="A204" s="367"/>
      <c r="B204" s="367"/>
      <c r="C204" s="367"/>
      <c r="D204" s="367"/>
      <c r="E204" s="367"/>
      <c r="F204" s="367"/>
      <c r="G204" s="367"/>
    </row>
    <row r="205" ht="12.75" customHeight="1" hidden="1">
      <c r="A205" s="367"/>
      <c r="B205" s="367"/>
      <c r="C205" s="367"/>
      <c r="D205" s="367"/>
      <c r="E205" s="367"/>
      <c r="F205" s="367"/>
      <c r="G205" s="367"/>
    </row>
    <row r="206" ht="12.75" customHeight="1" hidden="1">
      <c r="A206" s="367"/>
      <c r="B206" s="367"/>
      <c r="C206" s="367"/>
      <c r="D206" s="367"/>
      <c r="E206" s="367"/>
      <c r="F206" s="367"/>
      <c r="G206" s="367"/>
    </row>
    <row r="207" ht="12.75" customHeight="1" hidden="1">
      <c r="A207" s="367"/>
      <c r="B207" s="367"/>
      <c r="C207" s="367"/>
      <c r="D207" s="367"/>
      <c r="E207" s="367"/>
      <c r="F207" s="367"/>
      <c r="G207" s="367"/>
    </row>
    <row r="208" ht="12.75" customHeight="1" hidden="1">
      <c r="A208" s="367"/>
      <c r="B208" s="367"/>
      <c r="C208" s="367"/>
      <c r="D208" s="367"/>
      <c r="E208" s="367"/>
      <c r="F208" s="367"/>
      <c r="G208" s="367"/>
    </row>
    <row r="209" ht="12.75" customHeight="1" hidden="1">
      <c r="A209" s="367"/>
      <c r="B209" s="367"/>
      <c r="C209" s="367"/>
      <c r="D209" s="367"/>
      <c r="E209" s="367"/>
      <c r="F209" s="367"/>
      <c r="G209" s="367"/>
    </row>
    <row r="210" ht="12.75" customHeight="1" hidden="1">
      <c r="A210" s="367"/>
      <c r="B210" s="367"/>
      <c r="C210" s="367"/>
      <c r="D210" s="367"/>
      <c r="E210" s="367"/>
      <c r="F210" s="367"/>
      <c r="G210" s="367"/>
    </row>
    <row r="211" ht="12.75" customHeight="1" hidden="1">
      <c r="A211" s="367"/>
      <c r="B211" s="367"/>
      <c r="C211" s="367"/>
      <c r="D211" s="367"/>
      <c r="E211" s="367"/>
      <c r="F211" s="367"/>
      <c r="G211" s="367"/>
    </row>
    <row r="212" ht="12.75" customHeight="1" hidden="1">
      <c r="A212" s="367"/>
      <c r="B212" s="367"/>
      <c r="C212" s="367"/>
      <c r="D212" s="367"/>
      <c r="E212" s="367"/>
      <c r="F212" s="367"/>
      <c r="G212" s="367"/>
    </row>
    <row r="213" ht="12.75" customHeight="1" hidden="1">
      <c r="A213" s="367"/>
      <c r="B213" s="367"/>
      <c r="C213" s="367"/>
      <c r="D213" s="367"/>
      <c r="E213" s="367"/>
      <c r="F213" s="367"/>
      <c r="G213" s="367"/>
    </row>
    <row r="214" ht="12.75" customHeight="1" hidden="1">
      <c r="A214" s="367"/>
      <c r="B214" s="367"/>
      <c r="C214" s="367"/>
      <c r="D214" s="367"/>
      <c r="E214" s="367"/>
      <c r="F214" s="367"/>
      <c r="G214" s="367"/>
    </row>
    <row r="215" ht="12.75" customHeight="1" hidden="1">
      <c r="A215" s="367"/>
      <c r="B215" s="367"/>
      <c r="C215" s="367"/>
      <c r="D215" s="367"/>
      <c r="E215" s="367"/>
      <c r="F215" s="367"/>
      <c r="G215" s="367"/>
    </row>
    <row r="216" ht="12.75" customHeight="1" hidden="1">
      <c r="A216" s="367"/>
      <c r="B216" s="367"/>
      <c r="C216" s="367"/>
      <c r="D216" s="367"/>
      <c r="E216" s="367"/>
      <c r="F216" s="367"/>
      <c r="G216" s="367"/>
    </row>
    <row r="217" ht="12.75" customHeight="1" hidden="1">
      <c r="A217" s="367"/>
      <c r="B217" s="367"/>
      <c r="C217" s="367"/>
      <c r="D217" s="367"/>
      <c r="E217" s="367"/>
      <c r="F217" s="367"/>
      <c r="G217" s="367"/>
    </row>
    <row r="218" ht="12.75" customHeight="1" hidden="1">
      <c r="A218" s="367"/>
      <c r="B218" s="367"/>
      <c r="C218" s="367"/>
      <c r="D218" s="367"/>
      <c r="E218" s="367"/>
      <c r="F218" s="367"/>
      <c r="G218" s="367"/>
    </row>
    <row r="219" ht="12.75" customHeight="1" hidden="1">
      <c r="A219" s="367"/>
      <c r="B219" s="367"/>
      <c r="C219" s="367"/>
      <c r="D219" s="367"/>
      <c r="E219" s="367"/>
      <c r="F219" s="367"/>
      <c r="G219" s="367"/>
    </row>
    <row r="220" ht="12.75" customHeight="1" hidden="1">
      <c r="A220" s="367"/>
      <c r="B220" s="367"/>
      <c r="C220" s="367"/>
      <c r="D220" s="367"/>
      <c r="E220" s="367"/>
      <c r="F220" s="367"/>
      <c r="G220" s="367"/>
    </row>
    <row r="221" ht="12.75" customHeight="1" hidden="1">
      <c r="A221" s="367"/>
      <c r="B221" s="367"/>
      <c r="C221" s="367"/>
      <c r="D221" s="367"/>
      <c r="E221" s="367"/>
      <c r="F221" s="367"/>
      <c r="G221" s="367"/>
    </row>
    <row r="222" ht="12.75" customHeight="1" hidden="1">
      <c r="A222" s="367"/>
      <c r="B222" s="367"/>
      <c r="C222" s="367"/>
      <c r="D222" s="367"/>
      <c r="E222" s="367"/>
      <c r="F222" s="367"/>
      <c r="G222" s="367"/>
    </row>
    <row r="223" ht="12.75" customHeight="1" hidden="1">
      <c r="A223" s="367"/>
      <c r="B223" s="367"/>
      <c r="C223" s="367"/>
      <c r="D223" s="367"/>
      <c r="E223" s="367"/>
      <c r="F223" s="367"/>
      <c r="G223" s="367"/>
    </row>
    <row r="224" ht="12.75" customHeight="1" hidden="1">
      <c r="A224" s="367"/>
      <c r="B224" s="367"/>
      <c r="C224" s="367"/>
      <c r="D224" s="367"/>
      <c r="E224" s="367"/>
      <c r="F224" s="367"/>
      <c r="G224" s="367"/>
    </row>
    <row r="225" ht="12.75" customHeight="1" hidden="1">
      <c r="A225" s="367"/>
      <c r="B225" s="367"/>
      <c r="C225" s="367"/>
      <c r="D225" s="367"/>
      <c r="E225" s="367"/>
      <c r="F225" s="367"/>
      <c r="G225" s="367"/>
    </row>
    <row r="226" ht="12.75" customHeight="1" hidden="1">
      <c r="A226" s="367"/>
      <c r="B226" s="367"/>
      <c r="C226" s="367"/>
      <c r="D226" s="367"/>
      <c r="E226" s="367"/>
      <c r="F226" s="367"/>
      <c r="G226" s="367"/>
    </row>
    <row r="227" ht="12.75" customHeight="1" hidden="1">
      <c r="A227" s="367"/>
      <c r="B227" s="367"/>
      <c r="C227" s="367"/>
      <c r="D227" s="367"/>
      <c r="E227" s="367"/>
      <c r="F227" s="367"/>
      <c r="G227" s="367"/>
    </row>
    <row r="228" ht="12.75" customHeight="1" hidden="1">
      <c r="A228" s="367"/>
      <c r="B228" s="367"/>
      <c r="C228" s="367"/>
      <c r="D228" s="367"/>
      <c r="E228" s="367"/>
      <c r="F228" s="367"/>
      <c r="G228" s="367"/>
    </row>
    <row r="229" ht="12.75" customHeight="1" hidden="1">
      <c r="A229" s="367"/>
      <c r="B229" s="367"/>
      <c r="C229" s="367"/>
      <c r="D229" s="367"/>
      <c r="E229" s="367"/>
      <c r="F229" s="367"/>
      <c r="G229" s="367"/>
    </row>
    <row r="230" ht="12.75" customHeight="1" hidden="1">
      <c r="A230" s="367"/>
      <c r="B230" s="367"/>
      <c r="C230" s="367"/>
      <c r="D230" s="367"/>
      <c r="E230" s="367"/>
      <c r="F230" s="367"/>
      <c r="G230" s="367"/>
    </row>
    <row r="231" ht="12.75" customHeight="1" hidden="1">
      <c r="A231" s="367"/>
      <c r="B231" s="367"/>
      <c r="C231" s="367"/>
      <c r="D231" s="367"/>
      <c r="E231" s="367"/>
      <c r="F231" s="367"/>
      <c r="G231" s="367"/>
    </row>
    <row r="232" ht="12.75" customHeight="1" hidden="1">
      <c r="A232" s="367"/>
      <c r="B232" s="367"/>
      <c r="C232" s="367"/>
      <c r="D232" s="367"/>
      <c r="E232" s="367"/>
      <c r="F232" s="367"/>
      <c r="G232" s="367"/>
    </row>
    <row r="233" ht="12.75" customHeight="1" hidden="1">
      <c r="A233" s="367"/>
      <c r="B233" s="367"/>
      <c r="C233" s="367"/>
      <c r="D233" s="367"/>
      <c r="E233" s="367"/>
      <c r="F233" s="367"/>
      <c r="G233" s="367"/>
    </row>
    <row r="234" ht="12.75" customHeight="1" hidden="1">
      <c r="A234" s="367"/>
      <c r="B234" s="367"/>
      <c r="C234" s="367"/>
      <c r="D234" s="367"/>
      <c r="E234" s="367"/>
      <c r="F234" s="367"/>
      <c r="G234" s="367"/>
    </row>
    <row r="235" ht="12.75" customHeight="1" hidden="1">
      <c r="A235" s="367"/>
      <c r="B235" s="367"/>
      <c r="C235" s="367"/>
      <c r="D235" s="367"/>
      <c r="E235" s="367"/>
      <c r="F235" s="367"/>
      <c r="G235" s="367"/>
    </row>
    <row r="236" ht="12.75" customHeight="1" hidden="1">
      <c r="A236" s="367"/>
      <c r="B236" s="367"/>
      <c r="C236" s="367"/>
      <c r="D236" s="367"/>
      <c r="E236" s="367"/>
      <c r="F236" s="367"/>
      <c r="G236" s="367"/>
    </row>
    <row r="237" ht="12.75" customHeight="1" hidden="1">
      <c r="A237" s="367"/>
      <c r="B237" s="367"/>
      <c r="C237" s="367"/>
      <c r="D237" s="367"/>
      <c r="E237" s="367"/>
      <c r="F237" s="367"/>
      <c r="G237" s="367"/>
    </row>
    <row r="238" ht="12.75" customHeight="1" hidden="1">
      <c r="A238" s="367"/>
      <c r="B238" s="367"/>
      <c r="C238" s="367"/>
      <c r="D238" s="367"/>
      <c r="E238" s="367"/>
      <c r="F238" s="367"/>
      <c r="G238" s="367"/>
    </row>
    <row r="239" ht="12.75" customHeight="1" hidden="1">
      <c r="A239" s="367"/>
      <c r="B239" s="367"/>
      <c r="C239" s="367"/>
      <c r="D239" s="367"/>
      <c r="E239" s="367"/>
      <c r="F239" s="367"/>
      <c r="G239" s="367"/>
    </row>
    <row r="240" ht="12.75" customHeight="1" hidden="1">
      <c r="A240" s="367"/>
      <c r="B240" s="367"/>
      <c r="C240" s="367"/>
      <c r="D240" s="367"/>
      <c r="E240" s="367"/>
      <c r="F240" s="367"/>
      <c r="G240" s="367"/>
    </row>
    <row r="241" ht="12.75" customHeight="1" hidden="1">
      <c r="A241" s="367"/>
      <c r="B241" s="367"/>
      <c r="C241" s="367"/>
      <c r="D241" s="367"/>
      <c r="E241" s="367"/>
      <c r="F241" s="367"/>
      <c r="G241" s="367"/>
    </row>
    <row r="242" ht="12.75" customHeight="1" hidden="1">
      <c r="A242" s="367"/>
      <c r="B242" s="367"/>
      <c r="C242" s="367"/>
      <c r="D242" s="367"/>
      <c r="E242" s="367"/>
      <c r="F242" s="367"/>
      <c r="G242" s="367"/>
    </row>
    <row r="243" ht="12.75" customHeight="1" hidden="1">
      <c r="A243" s="367"/>
      <c r="B243" s="367"/>
      <c r="C243" s="367"/>
      <c r="D243" s="367"/>
      <c r="E243" s="367"/>
      <c r="F243" s="367"/>
      <c r="G243" s="367"/>
    </row>
    <row r="244" ht="12.75" customHeight="1" hidden="1">
      <c r="A244" s="367"/>
      <c r="B244" s="367"/>
      <c r="C244" s="367"/>
      <c r="D244" s="367"/>
      <c r="E244" s="367"/>
      <c r="F244" s="367"/>
      <c r="G244" s="367"/>
    </row>
    <row r="245" ht="12.75" customHeight="1" hidden="1">
      <c r="A245" s="367"/>
      <c r="B245" s="367"/>
      <c r="C245" s="367"/>
      <c r="D245" s="367"/>
      <c r="E245" s="367"/>
      <c r="F245" s="367"/>
      <c r="G245" s="367"/>
    </row>
    <row r="246" ht="12.75" customHeight="1" hidden="1">
      <c r="A246" s="367"/>
      <c r="B246" s="367"/>
      <c r="C246" s="367"/>
      <c r="D246" s="367"/>
      <c r="E246" s="367"/>
      <c r="F246" s="367"/>
      <c r="G246" s="367"/>
    </row>
    <row r="247" ht="12.75" customHeight="1" hidden="1">
      <c r="A247" s="367"/>
      <c r="B247" s="367"/>
      <c r="C247" s="367"/>
      <c r="D247" s="367"/>
      <c r="E247" s="367"/>
      <c r="F247" s="367"/>
      <c r="G247" s="367"/>
    </row>
    <row r="248" ht="12.75" customHeight="1" hidden="1">
      <c r="A248" s="367"/>
      <c r="B248" s="367"/>
      <c r="C248" s="367"/>
      <c r="D248" s="367"/>
      <c r="E248" s="367"/>
      <c r="F248" s="367"/>
      <c r="G248" s="367"/>
    </row>
    <row r="249" ht="12.75" customHeight="1" hidden="1">
      <c r="A249" s="367"/>
      <c r="B249" s="367"/>
      <c r="C249" s="367"/>
      <c r="D249" s="367"/>
      <c r="E249" s="367"/>
      <c r="F249" s="367"/>
      <c r="G249" s="367"/>
    </row>
    <row r="250" ht="12.75" customHeight="1" hidden="1">
      <c r="A250" s="367"/>
      <c r="B250" s="367"/>
      <c r="C250" s="367"/>
      <c r="D250" s="367"/>
      <c r="E250" s="367"/>
      <c r="F250" s="367"/>
      <c r="G250" s="367"/>
    </row>
    <row r="251" ht="12.75" customHeight="1" hidden="1">
      <c r="A251" s="367"/>
      <c r="B251" s="367"/>
      <c r="C251" s="367"/>
      <c r="D251" s="367"/>
      <c r="E251" s="367"/>
      <c r="F251" s="367"/>
      <c r="G251" s="367"/>
    </row>
    <row r="252" ht="12.75" customHeight="1" hidden="1">
      <c r="A252" s="367"/>
      <c r="B252" s="367"/>
      <c r="C252" s="367"/>
      <c r="D252" s="367"/>
      <c r="E252" s="367"/>
      <c r="F252" s="367"/>
      <c r="G252" s="367"/>
    </row>
    <row r="253" ht="12.75" customHeight="1" hidden="1">
      <c r="A253" s="367"/>
      <c r="B253" s="367"/>
      <c r="C253" s="367"/>
      <c r="D253" s="367"/>
      <c r="E253" s="367"/>
      <c r="F253" s="367"/>
      <c r="G253" s="367"/>
    </row>
    <row r="254" ht="12.75" customHeight="1" hidden="1">
      <c r="A254" s="367"/>
      <c r="B254" s="367"/>
      <c r="C254" s="367"/>
      <c r="D254" s="367"/>
      <c r="E254" s="367"/>
      <c r="F254" s="367"/>
      <c r="G254" s="367"/>
    </row>
    <row r="255" ht="12.75" customHeight="1" hidden="1">
      <c r="A255" s="367"/>
      <c r="B255" s="367"/>
      <c r="C255" s="367"/>
      <c r="D255" s="367"/>
      <c r="E255" s="367"/>
      <c r="F255" s="367"/>
      <c r="G255" s="367"/>
    </row>
    <row r="256" ht="12.75" customHeight="1" hidden="1">
      <c r="A256" s="367"/>
      <c r="B256" s="367"/>
      <c r="C256" s="367"/>
      <c r="D256" s="367"/>
      <c r="E256" s="367"/>
      <c r="F256" s="367"/>
      <c r="G256" s="367"/>
    </row>
    <row r="257" ht="12.75" customHeight="1" hidden="1">
      <c r="A257" s="367"/>
      <c r="B257" s="367"/>
      <c r="C257" s="367"/>
      <c r="D257" s="367"/>
      <c r="E257" s="367"/>
      <c r="F257" s="367"/>
      <c r="G257" s="367"/>
    </row>
    <row r="258" ht="12.75" customHeight="1" hidden="1">
      <c r="A258" s="367"/>
      <c r="B258" s="367"/>
      <c r="C258" s="367"/>
      <c r="D258" s="367"/>
      <c r="E258" s="367"/>
      <c r="F258" s="367"/>
      <c r="G258" s="367"/>
    </row>
    <row r="259" ht="12.75" customHeight="1" hidden="1">
      <c r="A259" s="367"/>
      <c r="B259" s="367"/>
      <c r="C259" s="367"/>
      <c r="D259" s="367"/>
      <c r="E259" s="367"/>
      <c r="F259" s="367"/>
      <c r="G259" s="367"/>
    </row>
    <row r="260" ht="12.75" customHeight="1" hidden="1">
      <c r="A260" s="367"/>
      <c r="B260" s="367"/>
      <c r="C260" s="367"/>
      <c r="D260" s="367"/>
      <c r="E260" s="367"/>
      <c r="F260" s="367"/>
      <c r="G260" s="367"/>
    </row>
    <row r="261" ht="12.75" customHeight="1" hidden="1">
      <c r="A261" s="367"/>
      <c r="B261" s="367"/>
      <c r="C261" s="367"/>
      <c r="D261" s="367"/>
      <c r="E261" s="367"/>
      <c r="F261" s="367"/>
      <c r="G261" s="367"/>
    </row>
    <row r="262" ht="12.75" customHeight="1" hidden="1">
      <c r="A262" s="367"/>
      <c r="B262" s="367"/>
      <c r="C262" s="367"/>
      <c r="D262" s="367"/>
      <c r="E262" s="367"/>
      <c r="F262" s="367"/>
      <c r="G262" s="367"/>
    </row>
    <row r="263" ht="12.75" customHeight="1" hidden="1">
      <c r="A263" s="367"/>
      <c r="B263" s="367"/>
      <c r="C263" s="367"/>
      <c r="D263" s="367"/>
      <c r="E263" s="367"/>
      <c r="F263" s="367"/>
      <c r="G263" s="367"/>
    </row>
    <row r="264" ht="12.75" customHeight="1" hidden="1">
      <c r="A264" s="367"/>
      <c r="B264" s="367"/>
      <c r="C264" s="367"/>
      <c r="D264" s="367"/>
      <c r="E264" s="367"/>
      <c r="F264" s="367"/>
      <c r="G264" s="367"/>
    </row>
    <row r="265" ht="12.75" customHeight="1" hidden="1">
      <c r="A265" s="367"/>
      <c r="B265" s="367"/>
      <c r="C265" s="367"/>
      <c r="D265" s="367"/>
      <c r="E265" s="367"/>
      <c r="F265" s="367"/>
      <c r="G265" s="367"/>
    </row>
    <row r="266" ht="12.75" customHeight="1" hidden="1">
      <c r="A266" s="367"/>
      <c r="B266" s="367"/>
      <c r="C266" s="367"/>
      <c r="D266" s="367"/>
      <c r="E266" s="367"/>
      <c r="F266" s="367"/>
      <c r="G266" s="367"/>
    </row>
    <row r="267" ht="12.75" customHeight="1" hidden="1">
      <c r="A267" s="367"/>
      <c r="B267" s="367"/>
      <c r="C267" s="367"/>
      <c r="D267" s="367"/>
      <c r="E267" s="367"/>
      <c r="F267" s="367"/>
      <c r="G267" s="367"/>
    </row>
    <row r="268" ht="12.75" customHeight="1" hidden="1">
      <c r="A268" s="367"/>
      <c r="B268" s="367"/>
      <c r="C268" s="367"/>
      <c r="D268" s="367"/>
      <c r="E268" s="367"/>
      <c r="F268" s="367"/>
      <c r="G268" s="367"/>
    </row>
    <row r="269" ht="12.75" customHeight="1" hidden="1">
      <c r="A269" s="367"/>
      <c r="B269" s="367"/>
      <c r="C269" s="367"/>
      <c r="D269" s="367"/>
      <c r="E269" s="367"/>
      <c r="F269" s="367"/>
      <c r="G269" s="367"/>
    </row>
    <row r="270" ht="12.75" customHeight="1" hidden="1">
      <c r="A270" s="367"/>
      <c r="B270" s="367"/>
      <c r="C270" s="367"/>
      <c r="D270" s="367"/>
      <c r="E270" s="367"/>
      <c r="F270" s="367"/>
      <c r="G270" s="367"/>
    </row>
    <row r="271" ht="12.75" customHeight="1" hidden="1">
      <c r="A271" s="367"/>
      <c r="B271" s="367"/>
      <c r="C271" s="367"/>
      <c r="D271" s="367"/>
      <c r="E271" s="367"/>
      <c r="F271" s="367"/>
      <c r="G271" s="367"/>
    </row>
    <row r="272" ht="12.75" customHeight="1" hidden="1">
      <c r="A272" s="367"/>
      <c r="B272" s="367"/>
      <c r="C272" s="367"/>
      <c r="D272" s="367"/>
      <c r="E272" s="367"/>
      <c r="F272" s="367"/>
      <c r="G272" s="367"/>
    </row>
    <row r="273" ht="12.75" customHeight="1" hidden="1">
      <c r="A273" s="367"/>
      <c r="B273" s="367"/>
      <c r="C273" s="367"/>
      <c r="D273" s="367"/>
      <c r="E273" s="367"/>
      <c r="F273" s="367"/>
      <c r="G273" s="367"/>
    </row>
    <row r="274" ht="12.75" customHeight="1" hidden="1">
      <c r="A274" s="367"/>
      <c r="B274" s="367"/>
      <c r="C274" s="367"/>
      <c r="D274" s="367"/>
      <c r="E274" s="367"/>
      <c r="F274" s="367"/>
      <c r="G274" s="367"/>
    </row>
    <row r="275" ht="12.75" customHeight="1" hidden="1">
      <c r="A275" s="367"/>
      <c r="B275" s="367"/>
      <c r="C275" s="367"/>
      <c r="D275" s="367"/>
      <c r="E275" s="367"/>
      <c r="F275" s="367"/>
      <c r="G275" s="367"/>
    </row>
    <row r="276" ht="12.75" customHeight="1" hidden="1">
      <c r="A276" s="367"/>
      <c r="B276" s="367"/>
      <c r="C276" s="367"/>
      <c r="D276" s="367"/>
      <c r="E276" s="367"/>
      <c r="F276" s="367"/>
      <c r="G276" s="367"/>
    </row>
    <row r="277" ht="12.75" customHeight="1" hidden="1">
      <c r="A277" s="367"/>
      <c r="B277" s="367"/>
      <c r="C277" s="367"/>
      <c r="D277" s="367"/>
      <c r="E277" s="367"/>
      <c r="F277" s="367"/>
      <c r="G277" s="367"/>
    </row>
    <row r="278" ht="12.75" customHeight="1" hidden="1">
      <c r="A278" s="367"/>
      <c r="B278" s="367"/>
      <c r="C278" s="367"/>
      <c r="D278" s="367"/>
      <c r="E278" s="367"/>
      <c r="F278" s="367"/>
      <c r="G278" s="367"/>
    </row>
    <row r="279" ht="12.75" customHeight="1" hidden="1">
      <c r="A279" s="367"/>
      <c r="B279" s="367"/>
      <c r="C279" s="367"/>
      <c r="D279" s="367"/>
      <c r="E279" s="367"/>
      <c r="F279" s="367"/>
      <c r="G279" s="367"/>
    </row>
    <row r="280" ht="12.75" customHeight="1" hidden="1">
      <c r="A280" s="367"/>
      <c r="B280" s="367"/>
      <c r="C280" s="367"/>
      <c r="D280" s="367"/>
      <c r="E280" s="367"/>
      <c r="F280" s="367"/>
      <c r="G280" s="367"/>
    </row>
    <row r="281" ht="12.75" customHeight="1" hidden="1">
      <c r="A281" s="367"/>
      <c r="B281" s="367"/>
      <c r="C281" s="367"/>
      <c r="D281" s="367"/>
      <c r="E281" s="367"/>
      <c r="F281" s="367"/>
      <c r="G281" s="367"/>
    </row>
    <row r="282" ht="12.75" customHeight="1" hidden="1">
      <c r="A282" s="367"/>
      <c r="B282" s="367"/>
      <c r="C282" s="367"/>
      <c r="D282" s="367"/>
      <c r="E282" s="367"/>
      <c r="F282" s="367"/>
      <c r="G282" s="367"/>
    </row>
    <row r="283" ht="12.75" customHeight="1" hidden="1">
      <c r="A283" s="367"/>
      <c r="B283" s="367"/>
      <c r="C283" s="367"/>
      <c r="D283" s="367"/>
      <c r="E283" s="367"/>
      <c r="F283" s="367"/>
      <c r="G283" s="367"/>
    </row>
    <row r="284" ht="12.75" customHeight="1" hidden="1">
      <c r="A284" s="367"/>
      <c r="B284" s="367"/>
      <c r="C284" s="367"/>
      <c r="D284" s="367"/>
      <c r="E284" s="367"/>
      <c r="F284" s="367"/>
      <c r="G284" s="367"/>
    </row>
    <row r="285" ht="12.75" customHeight="1" hidden="1">
      <c r="A285" s="367"/>
      <c r="B285" s="367"/>
      <c r="C285" s="367"/>
      <c r="D285" s="367"/>
      <c r="E285" s="367"/>
      <c r="F285" s="367"/>
      <c r="G285" s="367"/>
    </row>
    <row r="286" ht="12.75" customHeight="1" hidden="1">
      <c r="A286" s="367"/>
      <c r="B286" s="367"/>
      <c r="C286" s="367"/>
      <c r="D286" s="367"/>
      <c r="E286" s="367"/>
      <c r="F286" s="367"/>
      <c r="G286" s="367"/>
    </row>
    <row r="287" ht="12.75" customHeight="1" hidden="1">
      <c r="A287" s="367"/>
      <c r="B287" s="367"/>
      <c r="C287" s="367"/>
      <c r="D287" s="367"/>
      <c r="E287" s="367"/>
      <c r="F287" s="367"/>
      <c r="G287" s="367"/>
    </row>
    <row r="288" ht="12.75" customHeight="1" hidden="1">
      <c r="A288" s="367"/>
      <c r="B288" s="367"/>
      <c r="C288" s="367"/>
      <c r="D288" s="367"/>
      <c r="E288" s="367"/>
      <c r="F288" s="367"/>
      <c r="G288" s="367"/>
    </row>
    <row r="289" ht="12.75" customHeight="1" hidden="1">
      <c r="A289" s="367"/>
      <c r="B289" s="367"/>
      <c r="C289" s="367"/>
      <c r="D289" s="367"/>
      <c r="E289" s="367"/>
      <c r="F289" s="367"/>
      <c r="G289" s="367"/>
    </row>
    <row r="290" ht="12.75" customHeight="1" hidden="1">
      <c r="A290" s="367"/>
      <c r="B290" s="367"/>
      <c r="C290" s="367"/>
      <c r="D290" s="367"/>
      <c r="E290" s="367"/>
      <c r="F290" s="367"/>
      <c r="G290" s="367"/>
    </row>
    <row r="291" ht="12.75" customHeight="1" hidden="1">
      <c r="A291" s="367"/>
      <c r="B291" s="367"/>
      <c r="C291" s="367"/>
      <c r="D291" s="367"/>
      <c r="E291" s="367"/>
      <c r="F291" s="367"/>
      <c r="G291" s="367"/>
    </row>
    <row r="292" ht="12.75" customHeight="1" hidden="1">
      <c r="A292" s="367"/>
      <c r="B292" s="367"/>
      <c r="C292" s="367"/>
      <c r="D292" s="367"/>
      <c r="E292" s="367"/>
      <c r="F292" s="367"/>
      <c r="G292" s="367"/>
    </row>
    <row r="293" ht="12.75" customHeight="1" hidden="1">
      <c r="A293" s="367"/>
      <c r="B293" s="367"/>
      <c r="C293" s="367"/>
      <c r="D293" s="367"/>
      <c r="E293" s="367"/>
      <c r="F293" s="367"/>
      <c r="G293" s="367"/>
    </row>
    <row r="294" ht="12.75" customHeight="1" hidden="1">
      <c r="A294" s="367"/>
      <c r="B294" s="367"/>
      <c r="C294" s="367"/>
      <c r="D294" s="367"/>
      <c r="E294" s="367"/>
      <c r="F294" s="367"/>
      <c r="G294" s="367"/>
    </row>
    <row r="295" ht="12.75" customHeight="1" hidden="1">
      <c r="A295" s="367"/>
      <c r="B295" s="367"/>
      <c r="C295" s="367"/>
      <c r="D295" s="367"/>
      <c r="E295" s="367"/>
      <c r="F295" s="367"/>
      <c r="G295" s="367"/>
    </row>
    <row r="296" ht="12.75" customHeight="1" hidden="1">
      <c r="A296" s="367"/>
      <c r="B296" s="367"/>
      <c r="C296" s="367"/>
      <c r="D296" s="367"/>
      <c r="E296" s="367"/>
      <c r="F296" s="367"/>
      <c r="G296" s="367"/>
    </row>
    <row r="297" ht="12.75" customHeight="1" hidden="1">
      <c r="A297" s="367"/>
      <c r="B297" s="367"/>
      <c r="C297" s="367"/>
      <c r="D297" s="367"/>
      <c r="E297" s="367"/>
      <c r="F297" s="367"/>
      <c r="G297" s="367"/>
    </row>
    <row r="298" ht="12.75" customHeight="1" hidden="1">
      <c r="A298" s="367"/>
      <c r="B298" s="367"/>
      <c r="C298" s="367"/>
      <c r="D298" s="367"/>
      <c r="E298" s="367"/>
      <c r="F298" s="367"/>
      <c r="G298" s="367"/>
    </row>
    <row r="299" ht="12.75" customHeight="1" hidden="1">
      <c r="A299" s="367"/>
      <c r="B299" s="367"/>
      <c r="C299" s="367"/>
      <c r="D299" s="367"/>
      <c r="E299" s="367"/>
      <c r="F299" s="367"/>
      <c r="G299" s="367"/>
    </row>
    <row r="300" ht="12.75" customHeight="1" hidden="1">
      <c r="A300" s="367"/>
      <c r="B300" s="367"/>
      <c r="C300" s="367"/>
      <c r="D300" s="367"/>
      <c r="E300" s="367"/>
      <c r="F300" s="367"/>
      <c r="G300" s="367"/>
    </row>
    <row r="301" ht="12.75" customHeight="1" hidden="1">
      <c r="A301" s="367"/>
      <c r="B301" s="367"/>
      <c r="C301" s="367"/>
      <c r="D301" s="367"/>
      <c r="E301" s="367"/>
      <c r="F301" s="367"/>
      <c r="G301" s="367"/>
    </row>
    <row r="302" ht="12.75" customHeight="1" hidden="1">
      <c r="A302" s="367"/>
      <c r="B302" s="367"/>
      <c r="C302" s="367"/>
      <c r="D302" s="367"/>
      <c r="E302" s="367"/>
      <c r="F302" s="367"/>
      <c r="G302" s="367"/>
    </row>
    <row r="303" ht="12.75" customHeight="1" hidden="1">
      <c r="A303" s="367"/>
      <c r="B303" s="367"/>
      <c r="C303" s="367"/>
      <c r="D303" s="367"/>
      <c r="E303" s="367"/>
      <c r="F303" s="367"/>
      <c r="G303" s="367"/>
    </row>
    <row r="304" ht="12.75" customHeight="1" hidden="1">
      <c r="A304" s="367"/>
      <c r="B304" s="367"/>
      <c r="C304" s="367"/>
      <c r="D304" s="367"/>
      <c r="E304" s="367"/>
      <c r="F304" s="367"/>
      <c r="G304" s="367"/>
    </row>
    <row r="305" ht="12.75" customHeight="1" hidden="1">
      <c r="A305" s="367"/>
      <c r="B305" s="367"/>
      <c r="C305" s="367"/>
      <c r="D305" s="367"/>
      <c r="E305" s="367"/>
      <c r="F305" s="367"/>
      <c r="G305" s="367"/>
    </row>
    <row r="306" ht="12.75" customHeight="1" hidden="1">
      <c r="A306" s="367"/>
      <c r="B306" s="367"/>
      <c r="C306" s="367"/>
      <c r="D306" s="367"/>
      <c r="E306" s="367"/>
      <c r="F306" s="367"/>
      <c r="G306" s="367"/>
    </row>
    <row r="307" ht="12.75" customHeight="1" hidden="1">
      <c r="A307" s="367"/>
      <c r="B307" s="367"/>
      <c r="C307" s="367"/>
      <c r="D307" s="367"/>
      <c r="E307" s="367"/>
      <c r="F307" s="367"/>
      <c r="G307" s="367"/>
    </row>
    <row r="308" ht="12.75" customHeight="1" hidden="1">
      <c r="A308" s="367"/>
      <c r="B308" s="367"/>
      <c r="C308" s="367"/>
      <c r="D308" s="367"/>
      <c r="E308" s="367"/>
      <c r="F308" s="367"/>
      <c r="G308" s="367"/>
    </row>
    <row r="309" ht="12.75" customHeight="1" hidden="1">
      <c r="A309" s="367"/>
      <c r="B309" s="367"/>
      <c r="C309" s="367"/>
      <c r="D309" s="367"/>
      <c r="E309" s="367"/>
      <c r="F309" s="367"/>
      <c r="G309" s="367"/>
    </row>
    <row r="310" ht="12.75" customHeight="1" hidden="1">
      <c r="A310" s="367"/>
      <c r="B310" s="367"/>
      <c r="C310" s="367"/>
      <c r="D310" s="367"/>
      <c r="E310" s="367"/>
      <c r="F310" s="367"/>
      <c r="G310" s="367"/>
    </row>
    <row r="311" ht="12.75" customHeight="1" hidden="1">
      <c r="A311" s="367"/>
      <c r="B311" s="367"/>
      <c r="C311" s="367"/>
      <c r="D311" s="367"/>
      <c r="E311" s="367"/>
      <c r="F311" s="367"/>
      <c r="G311" s="367"/>
    </row>
    <row r="312" ht="12.75" customHeight="1" hidden="1">
      <c r="A312" s="367"/>
      <c r="B312" s="367"/>
      <c r="C312" s="367"/>
      <c r="D312" s="367"/>
      <c r="E312" s="367"/>
      <c r="F312" s="367"/>
      <c r="G312" s="367"/>
    </row>
    <row r="313" ht="12.75" customHeight="1" hidden="1">
      <c r="A313" s="367"/>
      <c r="B313" s="367"/>
      <c r="C313" s="367"/>
      <c r="D313" s="367"/>
      <c r="E313" s="367"/>
      <c r="F313" s="367"/>
      <c r="G313" s="367"/>
    </row>
    <row r="314" ht="12.75" customHeight="1" hidden="1">
      <c r="A314" s="367"/>
      <c r="B314" s="367"/>
      <c r="C314" s="367"/>
      <c r="D314" s="367"/>
      <c r="E314" s="367"/>
      <c r="F314" s="367"/>
      <c r="G314" s="367"/>
    </row>
    <row r="315" ht="12.75" customHeight="1" hidden="1">
      <c r="A315" s="367"/>
      <c r="B315" s="367"/>
      <c r="C315" s="367"/>
      <c r="D315" s="367"/>
      <c r="E315" s="367"/>
      <c r="F315" s="367"/>
      <c r="G315" s="367"/>
    </row>
    <row r="316" ht="12.75" customHeight="1" hidden="1">
      <c r="A316" s="367"/>
      <c r="B316" s="367"/>
      <c r="C316" s="367"/>
      <c r="D316" s="367"/>
      <c r="E316" s="367"/>
      <c r="F316" s="367"/>
      <c r="G316" s="367"/>
    </row>
    <row r="317" ht="12.75" customHeight="1" hidden="1">
      <c r="A317" s="367"/>
      <c r="B317" s="367"/>
      <c r="C317" s="367"/>
      <c r="D317" s="367"/>
      <c r="E317" s="367"/>
      <c r="F317" s="367"/>
      <c r="G317" s="367"/>
    </row>
    <row r="318" ht="12.75" customHeight="1" hidden="1">
      <c r="A318" s="367"/>
      <c r="B318" s="367"/>
      <c r="C318" s="367"/>
      <c r="D318" s="367"/>
      <c r="E318" s="367"/>
      <c r="F318" s="367"/>
      <c r="G318" s="367"/>
    </row>
    <row r="319" ht="12.75" customHeight="1" hidden="1">
      <c r="A319" s="367"/>
      <c r="B319" s="367"/>
      <c r="C319" s="367"/>
      <c r="D319" s="367"/>
      <c r="E319" s="367"/>
      <c r="F319" s="367"/>
      <c r="G319" s="367"/>
    </row>
    <row r="320" ht="12.75" customHeight="1" hidden="1">
      <c r="A320" s="367"/>
      <c r="B320" s="367"/>
      <c r="C320" s="367"/>
      <c r="D320" s="367"/>
      <c r="E320" s="367"/>
      <c r="F320" s="367"/>
      <c r="G320" s="367"/>
    </row>
    <row r="321" ht="12.75" customHeight="1" hidden="1">
      <c r="A321" s="367"/>
      <c r="B321" s="367"/>
      <c r="C321" s="367"/>
      <c r="D321" s="367"/>
      <c r="E321" s="367"/>
      <c r="F321" s="367"/>
      <c r="G321" s="367"/>
    </row>
    <row r="322" ht="12.75" customHeight="1" hidden="1">
      <c r="A322" s="367"/>
      <c r="B322" s="367"/>
      <c r="C322" s="367"/>
      <c r="D322" s="367"/>
      <c r="E322" s="367"/>
      <c r="F322" s="367"/>
      <c r="G322" s="367"/>
    </row>
    <row r="323" ht="12.75" customHeight="1" hidden="1">
      <c r="A323" s="367"/>
      <c r="B323" s="367"/>
      <c r="C323" s="367"/>
      <c r="D323" s="367"/>
      <c r="E323" s="367"/>
      <c r="F323" s="367"/>
      <c r="G323" s="367"/>
    </row>
    <row r="324" ht="12.75" customHeight="1" hidden="1">
      <c r="A324" s="367"/>
      <c r="B324" s="367"/>
      <c r="C324" s="367"/>
      <c r="D324" s="367"/>
      <c r="E324" s="367"/>
      <c r="F324" s="367"/>
      <c r="G324" s="367"/>
    </row>
    <row r="325" ht="12.75" customHeight="1" hidden="1">
      <c r="A325" s="367"/>
      <c r="B325" s="367"/>
      <c r="C325" s="367"/>
      <c r="D325" s="367"/>
      <c r="E325" s="367"/>
      <c r="F325" s="367"/>
      <c r="G325" s="367"/>
    </row>
    <row r="326" ht="12.75" customHeight="1" hidden="1">
      <c r="A326" s="367"/>
      <c r="B326" s="367"/>
      <c r="C326" s="367"/>
      <c r="D326" s="367"/>
      <c r="E326" s="367"/>
      <c r="F326" s="367"/>
      <c r="G326" s="367"/>
    </row>
    <row r="327" ht="12.75" customHeight="1" hidden="1">
      <c r="A327" s="367"/>
      <c r="B327" s="367"/>
      <c r="C327" s="367"/>
      <c r="D327" s="367"/>
      <c r="E327" s="367"/>
      <c r="F327" s="367"/>
      <c r="G327" s="367"/>
    </row>
    <row r="328" ht="12.75" customHeight="1" hidden="1">
      <c r="A328" s="367"/>
      <c r="B328" s="367"/>
      <c r="C328" s="367"/>
      <c r="D328" s="367"/>
      <c r="E328" s="367"/>
      <c r="F328" s="367"/>
      <c r="G328" s="367"/>
    </row>
    <row r="329" ht="12.75" customHeight="1" hidden="1">
      <c r="A329" s="367"/>
      <c r="B329" s="367"/>
      <c r="C329" s="367"/>
      <c r="D329" s="367"/>
      <c r="E329" s="367"/>
      <c r="F329" s="367"/>
      <c r="G329" s="367"/>
    </row>
    <row r="330" ht="12.75" customHeight="1" hidden="1">
      <c r="A330" s="367"/>
      <c r="B330" s="367"/>
      <c r="C330" s="367"/>
      <c r="D330" s="367"/>
      <c r="E330" s="367"/>
      <c r="F330" s="367"/>
      <c r="G330" s="367"/>
    </row>
    <row r="331" ht="12.75" customHeight="1" hidden="1">
      <c r="A331" s="367"/>
      <c r="B331" s="367"/>
      <c r="C331" s="367"/>
      <c r="D331" s="367"/>
      <c r="E331" s="367"/>
      <c r="F331" s="367"/>
      <c r="G331" s="367"/>
    </row>
    <row r="332" ht="12.75" customHeight="1" hidden="1">
      <c r="A332" s="367"/>
      <c r="B332" s="367"/>
      <c r="C332" s="367"/>
      <c r="D332" s="367"/>
      <c r="E332" s="367"/>
      <c r="F332" s="367"/>
      <c r="G332" s="367"/>
    </row>
    <row r="333" ht="12.75" customHeight="1" hidden="1">
      <c r="A333" s="367"/>
      <c r="B333" s="367"/>
      <c r="C333" s="367"/>
      <c r="D333" s="367"/>
      <c r="E333" s="367"/>
      <c r="F333" s="367"/>
      <c r="G333" s="367"/>
    </row>
    <row r="334" ht="12.75" customHeight="1" hidden="1">
      <c r="A334" s="367"/>
      <c r="B334" s="367"/>
      <c r="C334" s="367"/>
      <c r="D334" s="367"/>
      <c r="E334" s="367"/>
      <c r="F334" s="367"/>
      <c r="G334" s="367"/>
    </row>
    <row r="335" ht="12.75" customHeight="1" hidden="1">
      <c r="A335" s="367"/>
      <c r="B335" s="367"/>
      <c r="C335" s="367"/>
      <c r="D335" s="367"/>
      <c r="E335" s="367"/>
      <c r="F335" s="367"/>
      <c r="G335" s="367"/>
    </row>
    <row r="336" ht="12.75" customHeight="1" hidden="1">
      <c r="A336" s="367"/>
      <c r="B336" s="367"/>
      <c r="C336" s="367"/>
      <c r="D336" s="367"/>
      <c r="E336" s="367"/>
      <c r="F336" s="367"/>
      <c r="G336" s="367"/>
    </row>
    <row r="337" ht="12.75" customHeight="1" hidden="1">
      <c r="A337" s="367"/>
      <c r="B337" s="367"/>
      <c r="C337" s="367"/>
      <c r="D337" s="367"/>
      <c r="E337" s="367"/>
      <c r="F337" s="367"/>
      <c r="G337" s="367"/>
    </row>
    <row r="338" ht="12.75" customHeight="1" hidden="1">
      <c r="A338" s="367"/>
      <c r="B338" s="367"/>
      <c r="C338" s="367"/>
      <c r="D338" s="367"/>
      <c r="E338" s="367"/>
      <c r="F338" s="367"/>
      <c r="G338" s="367"/>
    </row>
    <row r="339" ht="12.75" customHeight="1" hidden="1">
      <c r="A339" s="367"/>
      <c r="B339" s="367"/>
      <c r="C339" s="367"/>
      <c r="D339" s="367"/>
      <c r="E339" s="367"/>
      <c r="F339" s="367"/>
      <c r="G339" s="367"/>
    </row>
    <row r="340" ht="12.75" customHeight="1" hidden="1">
      <c r="A340" s="367"/>
      <c r="B340" s="367"/>
      <c r="C340" s="367"/>
      <c r="D340" s="367"/>
      <c r="E340" s="367"/>
      <c r="F340" s="367"/>
      <c r="G340" s="367"/>
    </row>
    <row r="341" ht="12.75" customHeight="1" hidden="1">
      <c r="A341" s="367"/>
      <c r="B341" s="367"/>
      <c r="C341" s="367"/>
      <c r="D341" s="367"/>
      <c r="E341" s="367"/>
      <c r="F341" s="367"/>
      <c r="G341" s="367"/>
    </row>
    <row r="342" ht="12.75" customHeight="1" hidden="1">
      <c r="A342" s="367"/>
      <c r="B342" s="367"/>
      <c r="C342" s="367"/>
      <c r="D342" s="367"/>
      <c r="E342" s="367"/>
      <c r="F342" s="367"/>
      <c r="G342" s="367"/>
    </row>
    <row r="343" ht="12.75" customHeight="1" hidden="1">
      <c r="A343" s="367"/>
      <c r="B343" s="367"/>
      <c r="C343" s="367"/>
      <c r="D343" s="367"/>
      <c r="E343" s="367"/>
      <c r="F343" s="367"/>
      <c r="G343" s="367"/>
    </row>
    <row r="344" ht="12.75" customHeight="1" hidden="1">
      <c r="A344" s="367"/>
      <c r="B344" s="367"/>
      <c r="C344" s="367"/>
      <c r="D344" s="367"/>
      <c r="E344" s="367"/>
      <c r="F344" s="367"/>
      <c r="G344" s="367"/>
    </row>
    <row r="345" ht="12.75" customHeight="1" hidden="1">
      <c r="A345" s="367"/>
      <c r="B345" s="367"/>
      <c r="C345" s="367"/>
      <c r="D345" s="367"/>
      <c r="E345" s="367"/>
      <c r="F345" s="367"/>
      <c r="G345" s="367"/>
    </row>
    <row r="346" ht="12.75" customHeight="1" hidden="1">
      <c r="A346" s="367"/>
      <c r="B346" s="367"/>
      <c r="C346" s="367"/>
      <c r="D346" s="367"/>
      <c r="E346" s="367"/>
      <c r="F346" s="367"/>
      <c r="G346" s="367"/>
    </row>
    <row r="347" ht="12.75" customHeight="1" hidden="1">
      <c r="A347" s="367"/>
      <c r="B347" s="367"/>
      <c r="C347" s="367"/>
      <c r="D347" s="367"/>
      <c r="E347" s="367"/>
      <c r="F347" s="367"/>
      <c r="G347" s="367"/>
    </row>
    <row r="348" ht="12.75" customHeight="1" hidden="1">
      <c r="A348" s="367"/>
      <c r="B348" s="367"/>
      <c r="C348" s="367"/>
      <c r="D348" s="367"/>
      <c r="E348" s="367"/>
      <c r="F348" s="367"/>
      <c r="G348" s="367"/>
    </row>
    <row r="349" ht="12.75" customHeight="1" hidden="1">
      <c r="A349" s="367"/>
      <c r="B349" s="367"/>
      <c r="C349" s="367"/>
      <c r="D349" s="367"/>
      <c r="E349" s="367"/>
      <c r="F349" s="367"/>
      <c r="G349" s="367"/>
    </row>
    <row r="350" ht="12.75" customHeight="1" hidden="1">
      <c r="A350" s="367"/>
      <c r="B350" s="367"/>
      <c r="C350" s="367"/>
      <c r="D350" s="367"/>
      <c r="E350" s="367"/>
      <c r="F350" s="367"/>
      <c r="G350" s="367"/>
    </row>
    <row r="351" ht="12.75" customHeight="1" hidden="1">
      <c r="A351" s="367"/>
      <c r="B351" s="367"/>
      <c r="C351" s="367"/>
      <c r="D351" s="367"/>
      <c r="E351" s="367"/>
      <c r="F351" s="367"/>
      <c r="G351" s="367"/>
    </row>
    <row r="352" ht="12.75" customHeight="1" hidden="1">
      <c r="A352" s="367"/>
      <c r="B352" s="367"/>
      <c r="C352" s="367"/>
      <c r="D352" s="367"/>
      <c r="E352" s="367"/>
      <c r="F352" s="367"/>
      <c r="G352" s="367"/>
    </row>
    <row r="353" ht="12.75" customHeight="1" hidden="1">
      <c r="A353" s="367"/>
      <c r="B353" s="367"/>
      <c r="C353" s="367"/>
      <c r="D353" s="367"/>
      <c r="E353" s="367"/>
      <c r="F353" s="367"/>
      <c r="G353" s="367"/>
    </row>
    <row r="354" ht="12.75" customHeight="1" hidden="1">
      <c r="A354" s="367"/>
      <c r="B354" s="367"/>
      <c r="C354" s="367"/>
      <c r="D354" s="367"/>
      <c r="E354" s="367"/>
      <c r="F354" s="367"/>
      <c r="G354" s="367"/>
    </row>
    <row r="355" ht="12.75" customHeight="1" hidden="1">
      <c r="A355" s="367"/>
      <c r="B355" s="367"/>
      <c r="C355" s="367"/>
      <c r="D355" s="367"/>
      <c r="E355" s="367"/>
      <c r="F355" s="367"/>
      <c r="G355" s="367"/>
    </row>
    <row r="356" ht="12.75" customHeight="1" hidden="1">
      <c r="A356" s="367"/>
      <c r="B356" s="367"/>
      <c r="C356" s="367"/>
      <c r="D356" s="367"/>
      <c r="E356" s="367"/>
      <c r="F356" s="367"/>
      <c r="G356" s="367"/>
    </row>
    <row r="357" ht="12.75" customHeight="1" hidden="1">
      <c r="A357" s="367"/>
      <c r="B357" s="367"/>
      <c r="C357" s="367"/>
      <c r="D357" s="367"/>
      <c r="E357" s="367"/>
      <c r="F357" s="367"/>
      <c r="G357" s="367"/>
    </row>
    <row r="358" ht="12.75" customHeight="1" hidden="1">
      <c r="A358" s="367"/>
      <c r="B358" s="367"/>
      <c r="C358" s="367"/>
      <c r="D358" s="367"/>
      <c r="E358" s="367"/>
      <c r="F358" s="367"/>
      <c r="G358" s="367"/>
    </row>
    <row r="359" ht="12.75" customHeight="1" hidden="1">
      <c r="A359" s="367"/>
      <c r="B359" s="367"/>
      <c r="C359" s="367"/>
      <c r="D359" s="367"/>
      <c r="E359" s="367"/>
      <c r="F359" s="367"/>
      <c r="G359" s="367"/>
    </row>
    <row r="360" ht="12.75" customHeight="1" hidden="1">
      <c r="A360" s="367"/>
      <c r="B360" s="367"/>
      <c r="C360" s="367"/>
      <c r="D360" s="367"/>
      <c r="E360" s="367"/>
      <c r="F360" s="367"/>
      <c r="G360" s="367"/>
    </row>
    <row r="361" ht="12.75" customHeight="1" hidden="1">
      <c r="A361" s="367"/>
      <c r="B361" s="367"/>
      <c r="C361" s="367"/>
      <c r="D361" s="367"/>
      <c r="E361" s="367"/>
      <c r="F361" s="367"/>
      <c r="G361" s="367"/>
    </row>
    <row r="362" ht="12.75" customHeight="1" hidden="1">
      <c r="A362" s="367"/>
      <c r="B362" s="367"/>
      <c r="C362" s="367"/>
      <c r="D362" s="367"/>
      <c r="E362" s="367"/>
      <c r="F362" s="367"/>
      <c r="G362" s="367"/>
    </row>
    <row r="363" ht="12.75" customHeight="1" hidden="1">
      <c r="A363" s="367"/>
      <c r="B363" s="367"/>
      <c r="C363" s="367"/>
      <c r="D363" s="367"/>
      <c r="E363" s="367"/>
      <c r="F363" s="367"/>
      <c r="G363" s="367"/>
    </row>
    <row r="364" ht="12.75" customHeight="1" hidden="1">
      <c r="A364" s="367"/>
      <c r="B364" s="367"/>
      <c r="C364" s="367"/>
      <c r="D364" s="367"/>
      <c r="E364" s="367"/>
      <c r="F364" s="367"/>
      <c r="G364" s="367"/>
    </row>
    <row r="365" ht="12.75" customHeight="1" hidden="1">
      <c r="A365" s="367"/>
      <c r="B365" s="367"/>
      <c r="C365" s="367"/>
      <c r="D365" s="367"/>
      <c r="E365" s="367"/>
      <c r="F365" s="367"/>
      <c r="G365" s="367"/>
    </row>
    <row r="366" ht="12.75" customHeight="1" hidden="1">
      <c r="A366" s="367"/>
      <c r="B366" s="367"/>
      <c r="C366" s="367"/>
      <c r="D366" s="367"/>
      <c r="E366" s="367"/>
      <c r="F366" s="367"/>
      <c r="G366" s="367"/>
    </row>
    <row r="367" ht="12.75" customHeight="1" hidden="1">
      <c r="A367" s="367"/>
      <c r="B367" s="367"/>
      <c r="C367" s="367"/>
      <c r="D367" s="367"/>
      <c r="E367" s="367"/>
      <c r="F367" s="367"/>
      <c r="G367" s="367"/>
    </row>
    <row r="368" ht="12.75" customHeight="1" hidden="1">
      <c r="A368" s="367"/>
      <c r="B368" s="367"/>
      <c r="C368" s="367"/>
      <c r="D368" s="367"/>
      <c r="E368" s="367"/>
      <c r="F368" s="367"/>
      <c r="G368" s="367"/>
    </row>
    <row r="369" ht="12.75" customHeight="1" hidden="1">
      <c r="A369" s="367"/>
      <c r="B369" s="367"/>
      <c r="C369" s="367"/>
      <c r="D369" s="367"/>
      <c r="E369" s="367"/>
      <c r="F369" s="367"/>
      <c r="G369" s="367"/>
    </row>
    <row r="370" ht="12.75" customHeight="1" hidden="1">
      <c r="A370" s="367"/>
      <c r="B370" s="367"/>
      <c r="C370" s="367"/>
      <c r="D370" s="367"/>
      <c r="E370" s="367"/>
      <c r="F370" s="367"/>
      <c r="G370" s="367"/>
    </row>
    <row r="371" ht="12.75" customHeight="1" hidden="1">
      <c r="A371" s="367"/>
      <c r="B371" s="367"/>
      <c r="C371" s="367"/>
      <c r="D371" s="367"/>
      <c r="E371" s="367"/>
      <c r="F371" s="367"/>
      <c r="G371" s="367"/>
    </row>
    <row r="372" ht="12.75" customHeight="1" hidden="1">
      <c r="A372" s="367"/>
      <c r="B372" s="367"/>
      <c r="C372" s="367"/>
      <c r="D372" s="367"/>
      <c r="E372" s="367"/>
      <c r="F372" s="367"/>
      <c r="G372" s="367"/>
    </row>
    <row r="373" ht="12.75" customHeight="1" hidden="1">
      <c r="A373" s="367"/>
      <c r="B373" s="367"/>
      <c r="C373" s="367"/>
      <c r="D373" s="367"/>
      <c r="E373" s="367"/>
      <c r="F373" s="367"/>
      <c r="G373" s="367"/>
    </row>
    <row r="374" ht="12.75" customHeight="1" hidden="1">
      <c r="A374" s="367"/>
      <c r="B374" s="367"/>
      <c r="C374" s="367"/>
      <c r="D374" s="367"/>
      <c r="E374" s="367"/>
      <c r="F374" s="367"/>
      <c r="G374" s="367"/>
    </row>
    <row r="375" ht="12.75" customHeight="1" hidden="1">
      <c r="A375" s="367"/>
      <c r="B375" s="367"/>
      <c r="C375" s="367"/>
      <c r="D375" s="367"/>
      <c r="E375" s="367"/>
      <c r="F375" s="367"/>
      <c r="G375" s="367"/>
    </row>
    <row r="376" ht="12.75" customHeight="1" hidden="1">
      <c r="A376" s="367"/>
      <c r="B376" s="367"/>
      <c r="C376" s="367"/>
      <c r="D376" s="367"/>
      <c r="E376" s="367"/>
      <c r="F376" s="367"/>
      <c r="G376" s="367"/>
    </row>
    <row r="377" ht="12.75" customHeight="1" hidden="1">
      <c r="A377" s="367"/>
      <c r="B377" s="367"/>
      <c r="C377" s="367"/>
      <c r="D377" s="367"/>
      <c r="E377" s="367"/>
      <c r="F377" s="367"/>
      <c r="G377" s="367"/>
    </row>
    <row r="378" ht="12.75" customHeight="1" hidden="1">
      <c r="A378" s="367"/>
      <c r="B378" s="367"/>
      <c r="C378" s="367"/>
      <c r="D378" s="367"/>
      <c r="E378" s="367"/>
      <c r="F378" s="367"/>
      <c r="G378" s="367"/>
    </row>
    <row r="379" ht="12.75" customHeight="1" hidden="1">
      <c r="A379" s="367"/>
      <c r="B379" s="367"/>
      <c r="C379" s="367"/>
      <c r="D379" s="367"/>
      <c r="E379" s="367"/>
      <c r="F379" s="367"/>
      <c r="G379" s="367"/>
    </row>
    <row r="380" ht="12.75" customHeight="1" hidden="1">
      <c r="A380" s="367"/>
      <c r="B380" s="367"/>
      <c r="C380" s="367"/>
      <c r="D380" s="367"/>
      <c r="E380" s="367"/>
      <c r="F380" s="367"/>
      <c r="G380" s="367"/>
    </row>
    <row r="381" ht="12.75" customHeight="1" hidden="1">
      <c r="A381" s="367"/>
      <c r="B381" s="367"/>
      <c r="C381" s="367"/>
      <c r="D381" s="367"/>
      <c r="E381" s="367"/>
      <c r="F381" s="367"/>
      <c r="G381" s="367"/>
    </row>
    <row r="382" ht="12.75" customHeight="1" hidden="1">
      <c r="A382" s="367"/>
      <c r="B382" s="367"/>
      <c r="C382" s="367"/>
      <c r="D382" s="367"/>
      <c r="E382" s="367"/>
      <c r="F382" s="367"/>
      <c r="G382" s="367"/>
    </row>
    <row r="383" ht="12.75" customHeight="1" hidden="1">
      <c r="A383" s="367"/>
      <c r="B383" s="367"/>
      <c r="C383" s="367"/>
      <c r="D383" s="367"/>
      <c r="E383" s="367"/>
      <c r="F383" s="367"/>
      <c r="G383" s="367"/>
    </row>
    <row r="384" ht="12.75" customHeight="1" hidden="1">
      <c r="A384" s="367"/>
      <c r="B384" s="367"/>
      <c r="C384" s="367"/>
      <c r="D384" s="367"/>
      <c r="E384" s="367"/>
      <c r="F384" s="367"/>
      <c r="G384" s="367"/>
    </row>
    <row r="385" ht="12.75" customHeight="1" hidden="1">
      <c r="A385" s="367"/>
      <c r="B385" s="367"/>
      <c r="C385" s="367"/>
      <c r="D385" s="367"/>
      <c r="E385" s="367"/>
      <c r="F385" s="367"/>
      <c r="G385" s="367"/>
    </row>
    <row r="386" ht="12.75" customHeight="1" hidden="1">
      <c r="A386" s="367"/>
      <c r="B386" s="367"/>
      <c r="C386" s="367"/>
      <c r="D386" s="367"/>
      <c r="E386" s="367"/>
      <c r="F386" s="367"/>
      <c r="G386" s="367"/>
    </row>
    <row r="387" ht="12.75" customHeight="1" hidden="1">
      <c r="A387" s="367"/>
      <c r="B387" s="367"/>
      <c r="C387" s="367"/>
      <c r="D387" s="367"/>
      <c r="E387" s="367"/>
      <c r="F387" s="367"/>
      <c r="G387" s="367"/>
    </row>
    <row r="388" ht="12.75" customHeight="1" hidden="1">
      <c r="A388" s="367"/>
      <c r="B388" s="367"/>
      <c r="C388" s="367"/>
      <c r="D388" s="367"/>
      <c r="E388" s="367"/>
      <c r="F388" s="367"/>
      <c r="G388" s="367"/>
    </row>
    <row r="389" ht="12.75" customHeight="1" hidden="1">
      <c r="A389" s="367"/>
      <c r="B389" s="367"/>
      <c r="C389" s="367"/>
      <c r="D389" s="367"/>
      <c r="E389" s="367"/>
      <c r="F389" s="367"/>
      <c r="G389" s="367"/>
    </row>
    <row r="390" ht="12.75" customHeight="1" hidden="1">
      <c r="A390" s="367"/>
      <c r="B390" s="367"/>
      <c r="C390" s="367"/>
      <c r="D390" s="367"/>
      <c r="E390" s="367"/>
      <c r="F390" s="367"/>
      <c r="G390" s="367"/>
    </row>
    <row r="391" ht="12.75" customHeight="1" hidden="1">
      <c r="A391" s="367"/>
      <c r="B391" s="367"/>
      <c r="C391" s="367"/>
      <c r="D391" s="367"/>
      <c r="E391" s="367"/>
      <c r="F391" s="367"/>
      <c r="G391" s="367"/>
    </row>
    <row r="392" ht="12.75" customHeight="1" hidden="1">
      <c r="A392" s="367"/>
      <c r="B392" s="367"/>
      <c r="C392" s="367"/>
      <c r="D392" s="367"/>
      <c r="E392" s="367"/>
      <c r="F392" s="367"/>
      <c r="G392" s="367"/>
    </row>
    <row r="393" ht="12.75" customHeight="1" hidden="1">
      <c r="A393" s="367"/>
      <c r="B393" s="367"/>
      <c r="C393" s="367"/>
      <c r="D393" s="367"/>
      <c r="E393" s="367"/>
      <c r="F393" s="367"/>
      <c r="G393" s="367"/>
    </row>
    <row r="394" ht="12.75" customHeight="1" hidden="1">
      <c r="A394" s="367"/>
      <c r="B394" s="367"/>
      <c r="C394" s="367"/>
      <c r="D394" s="367"/>
      <c r="E394" s="367"/>
      <c r="F394" s="367"/>
      <c r="G394" s="367"/>
    </row>
    <row r="395" ht="12.75" customHeight="1" hidden="1">
      <c r="A395" s="367"/>
      <c r="B395" s="367"/>
      <c r="C395" s="367"/>
      <c r="D395" s="367"/>
      <c r="E395" s="367"/>
      <c r="F395" s="367"/>
      <c r="G395" s="367"/>
    </row>
    <row r="396" ht="12.75" customHeight="1" hidden="1">
      <c r="A396" s="367"/>
      <c r="B396" s="367"/>
      <c r="C396" s="367"/>
      <c r="D396" s="367"/>
      <c r="E396" s="367"/>
      <c r="F396" s="367"/>
      <c r="G396" s="367"/>
    </row>
    <row r="397" ht="12.75" customHeight="1" hidden="1">
      <c r="A397" s="367"/>
      <c r="B397" s="367"/>
      <c r="C397" s="367"/>
      <c r="D397" s="367"/>
      <c r="E397" s="367"/>
      <c r="F397" s="367"/>
      <c r="G397" s="367"/>
    </row>
    <row r="398" ht="12.75" customHeight="1" hidden="1">
      <c r="A398" s="367"/>
      <c r="B398" s="367"/>
      <c r="C398" s="367"/>
      <c r="D398" s="367"/>
      <c r="E398" s="367"/>
      <c r="F398" s="367"/>
      <c r="G398" s="367"/>
    </row>
    <row r="399" ht="12.75" customHeight="1" hidden="1">
      <c r="A399" s="367"/>
      <c r="B399" s="367"/>
      <c r="C399" s="367"/>
      <c r="D399" s="367"/>
      <c r="E399" s="367"/>
      <c r="F399" s="367"/>
      <c r="G399" s="367"/>
    </row>
    <row r="400" ht="12.75" customHeight="1" hidden="1">
      <c r="A400" s="411">
        <v>42999</v>
      </c>
      <c r="B400" s="367"/>
      <c r="C400" s="367"/>
      <c r="D400" s="367"/>
      <c r="E400" s="367"/>
      <c r="F400" s="367"/>
      <c r="G400" s="367"/>
    </row>
    <row r="401" ht="12.75" customHeight="1" hidden="1">
      <c r="A401" s="411">
        <v>42103</v>
      </c>
      <c r="B401" s="367"/>
      <c r="C401" s="367"/>
      <c r="D401" s="367"/>
      <c r="E401" s="367"/>
      <c r="F401" s="367"/>
      <c r="G401" s="367"/>
    </row>
    <row r="402" ht="12.75" customHeight="1" hidden="1">
      <c r="A402" s="411">
        <v>42275</v>
      </c>
      <c r="B402" s="367"/>
      <c r="C402" s="367"/>
      <c r="D402" s="367"/>
      <c r="E402" s="367"/>
      <c r="F402" s="367"/>
      <c r="G402" s="367"/>
    </row>
    <row r="403" ht="12.75" customHeight="1" hidden="1">
      <c r="A403" s="411">
        <v>42103</v>
      </c>
      <c r="B403" s="367"/>
      <c r="C403" s="367"/>
      <c r="D403" s="367"/>
      <c r="E403" s="367"/>
      <c r="F403" s="367"/>
      <c r="G403" s="367"/>
    </row>
    <row r="404" ht="12.75" customHeight="1" hidden="1">
      <c r="A404" s="411">
        <v>42103</v>
      </c>
      <c r="B404" s="367"/>
      <c r="C404" s="367"/>
      <c r="D404" s="367"/>
      <c r="E404" s="367"/>
      <c r="F404" s="367"/>
      <c r="G404" s="367"/>
    </row>
    <row r="405" ht="12.75" customHeight="1" hidden="1">
      <c r="A405" s="411">
        <v>42103</v>
      </c>
      <c r="B405" s="367"/>
      <c r="C405" s="367"/>
      <c r="D405" s="367"/>
      <c r="E405" s="367"/>
      <c r="F405" s="367"/>
      <c r="G405" s="367"/>
    </row>
    <row r="406" ht="12.75" customHeight="1" hidden="1">
      <c r="A406" s="411">
        <v>42103</v>
      </c>
      <c r="B406" s="367"/>
      <c r="C406" s="367"/>
      <c r="D406" s="367"/>
      <c r="E406" s="367"/>
      <c r="F406" s="367"/>
      <c r="G406" s="367"/>
    </row>
    <row r="407" ht="15.65" customHeight="1">
      <c r="A407" s="367"/>
      <c r="B407" s="367"/>
      <c r="C407" s="367"/>
      <c r="D407" s="367"/>
      <c r="E407" s="367"/>
      <c r="F407" s="367"/>
      <c r="G407" s="367"/>
    </row>
  </sheetData>
  <mergeCells count="1">
    <mergeCell ref="C7:G7"/>
  </mergeCells>
  <pageMargins left="0.75" right="0.75" top="1" bottom="1" header="0.5" footer="0.5"/>
  <pageSetup firstPageNumber="1" fitToHeight="1" fitToWidth="1" scale="100" useFirstPageNumber="0" orientation="landscape" pageOrder="downThenOver"/>
  <headerFooter>
    <oddFooter>&amp;L&amp;"Helvetica,Regular"&amp;12&amp;K000000	&amp;P</oddFooter>
  </headerFooter>
  <drawing r:id="rId1"/>
  <legacyDrawing r:id="rId2"/>
</worksheet>
</file>

<file path=xl/worksheets/sheet9.xml><?xml version="1.0" encoding="utf-8"?>
<worksheet xmlns:r="http://schemas.openxmlformats.org/officeDocument/2006/relationships" xmlns="http://schemas.openxmlformats.org/spreadsheetml/2006/main">
  <dimension ref="A1:AV437"/>
  <sheetViews>
    <sheetView workbookViewId="0" defaultGridColor="0" colorId="15"/>
  </sheetViews>
  <sheetFormatPr defaultColWidth="6.625" defaultRowHeight="12.75" customHeight="1" outlineLevelRow="0" outlineLevelCol="0"/>
  <cols>
    <col min="1" max="1" width="38.625" style="6" customWidth="1"/>
    <col min="2" max="2" width="15.875" style="6" customWidth="1"/>
    <col min="3" max="3" width="14.125" style="6" customWidth="1"/>
    <col min="4" max="4" width="13.625" style="6" customWidth="1"/>
    <col min="5" max="5" width="19.625" style="6" customWidth="1"/>
    <col min="6" max="6" width="8.75" style="6" customWidth="1"/>
    <col min="7" max="7" width="8.75" style="6" customWidth="1"/>
    <col min="8" max="8" width="8.75" style="6" customWidth="1"/>
    <col min="9" max="9" width="6.875" style="6" customWidth="1"/>
    <col min="10" max="10" width="6.875" style="6" customWidth="1"/>
    <col min="11" max="11" width="6.875" style="6" customWidth="1"/>
    <col min="12" max="12" width="6.875" style="6" customWidth="1"/>
    <col min="13" max="13" width="6.875" style="6" customWidth="1"/>
    <col min="14" max="14" width="6.875" style="6" customWidth="1"/>
    <col min="15" max="15" width="6.875" style="6" customWidth="1"/>
    <col min="16" max="16" width="6.875" style="6" customWidth="1"/>
    <col min="17" max="17" width="6.875" style="6" customWidth="1"/>
    <col min="18" max="18" width="6.875" style="6" customWidth="1"/>
    <col min="19" max="19" width="6.875" style="6" customWidth="1"/>
    <col min="20" max="20" width="6.875" style="6" customWidth="1"/>
    <col min="21" max="21" width="6.875" style="6" customWidth="1"/>
    <col min="22" max="22" width="6.875" style="6" customWidth="1"/>
    <col min="23" max="23" width="6.875" style="6" customWidth="1"/>
    <col min="24" max="24" width="6.875" style="6" customWidth="1"/>
    <col min="25" max="25" width="6.875" style="6" customWidth="1"/>
    <col min="26" max="26" width="6.875" style="6" customWidth="1"/>
    <col min="27" max="27" width="6.875" style="6" customWidth="1"/>
    <col min="28" max="28" width="6.875" style="6" customWidth="1"/>
    <col min="29" max="29" width="6.875" style="6" customWidth="1"/>
    <col min="30" max="30" width="6.875" style="6" customWidth="1"/>
    <col min="31" max="31" width="6.875" style="6" customWidth="1"/>
    <col min="32" max="32" width="6.875" style="6" customWidth="1"/>
    <col min="33" max="33" width="6.875" style="6" customWidth="1"/>
    <col min="34" max="34" width="6.875" style="6" customWidth="1"/>
    <col min="35" max="35" width="6.875" style="6" customWidth="1"/>
    <col min="36" max="36" width="6.875" style="6" customWidth="1"/>
    <col min="37" max="37" width="6.875" style="6" customWidth="1"/>
    <col min="38" max="38" width="6.875" style="6" customWidth="1"/>
    <col min="39" max="39" width="6.875" style="6" customWidth="1"/>
    <col min="40" max="40" width="6.875" style="6" customWidth="1"/>
    <col min="41" max="41" width="6.875" style="6" customWidth="1"/>
    <col min="42" max="42" width="6.875" style="6" customWidth="1"/>
    <col min="43" max="43" width="6.875" style="6" customWidth="1"/>
    <col min="44" max="44" width="6.875" style="6" customWidth="1"/>
    <col min="45" max="45" width="6.875" style="6" customWidth="1"/>
    <col min="46" max="46" width="6.875" style="6" customWidth="1"/>
    <col min="47" max="47" width="6.875" style="6" customWidth="1"/>
    <col min="48" max="48" hidden="1" width="6.625" style="6" customWidth="1"/>
    <col min="49" max="256" width="6.625" style="412" customWidth="1"/>
  </cols>
  <sheetData>
    <row r="1" s="413" customFormat="1" ht="18" customHeight="1">
      <c r="A1" t="s" s="366">
        <v>691</v>
      </c>
      <c r="B1" t="s" s="366">
        <v>96</v>
      </c>
      <c r="C1" s="414"/>
      <c r="D1" t="s" s="369">
        <f>'Project Information'!C13</f>
        <v>692</v>
      </c>
      <c r="E1" s="415"/>
      <c r="F1" s="415"/>
      <c r="G1" s="415"/>
      <c r="H1" s="415"/>
    </row>
    <row r="2" s="413" customFormat="1" ht="15.75" customHeight="1">
      <c r="A2" s="416"/>
      <c r="B2" s="416"/>
      <c r="C2" s="416"/>
      <c r="D2" s="415"/>
      <c r="E2" s="415"/>
      <c r="F2" s="415"/>
      <c r="G2" s="415"/>
      <c r="H2" s="415"/>
    </row>
    <row r="3" s="417" customFormat="1" ht="15.75" customHeight="1">
      <c r="A3" t="s" s="418">
        <v>693</v>
      </c>
      <c r="B3" s="419"/>
      <c r="C3" s="420"/>
      <c r="D3" s="421"/>
      <c r="E3" s="415"/>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422"/>
      <c r="AN3" s="422"/>
      <c r="AO3" s="422"/>
      <c r="AP3" s="422"/>
      <c r="AQ3" s="422"/>
      <c r="AR3" s="422"/>
      <c r="AS3" s="422"/>
    </row>
    <row r="4" s="417" customFormat="1" ht="15.75" customHeight="1">
      <c r="A4" t="s" s="423">
        <v>60</v>
      </c>
      <c r="B4" s="424"/>
      <c r="C4" s="425"/>
      <c r="D4" s="426"/>
      <c r="E4" s="416"/>
      <c r="F4" s="427"/>
      <c r="G4" s="422"/>
      <c r="H4" s="422"/>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2"/>
    </row>
    <row r="5" s="417" customFormat="1" ht="15" customHeight="1">
      <c r="A5" s="428"/>
      <c r="B5" s="429"/>
      <c r="C5" s="429"/>
      <c r="D5" s="429"/>
      <c r="E5" s="429"/>
      <c r="F5" s="379"/>
      <c r="G5" s="430"/>
      <c r="H5" s="431"/>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379"/>
      <c r="AQ5" s="379"/>
      <c r="AR5" s="379"/>
      <c r="AS5" s="432"/>
    </row>
    <row r="6" s="417" customFormat="1" ht="18" customHeight="1">
      <c r="A6" s="431"/>
      <c r="B6" t="s" s="384">
        <v>694</v>
      </c>
      <c r="C6" t="s" s="384">
        <v>695</v>
      </c>
      <c r="D6" t="s" s="384">
        <v>178</v>
      </c>
      <c r="E6" t="s" s="384">
        <v>696</v>
      </c>
      <c r="F6" t="s" s="384">
        <v>697</v>
      </c>
      <c r="G6" s="430"/>
      <c r="H6" s="431"/>
      <c r="I6" s="433">
        <v>43941</v>
      </c>
      <c r="J6" s="433">
        <v>43971</v>
      </c>
      <c r="K6" s="433">
        <v>44002</v>
      </c>
      <c r="L6" s="433">
        <v>44032</v>
      </c>
      <c r="M6" s="433">
        <v>44063</v>
      </c>
      <c r="N6" s="433">
        <v>44094</v>
      </c>
      <c r="O6" s="433">
        <v>44124</v>
      </c>
      <c r="P6" s="433">
        <v>44155</v>
      </c>
      <c r="Q6" s="433">
        <v>44185</v>
      </c>
      <c r="R6" s="433">
        <v>44217</v>
      </c>
      <c r="S6" s="433">
        <v>44248</v>
      </c>
      <c r="T6" s="434">
        <v>43911</v>
      </c>
      <c r="U6" s="434">
        <v>43942</v>
      </c>
      <c r="V6" s="433">
        <v>44317</v>
      </c>
      <c r="W6" s="433">
        <v>44348</v>
      </c>
      <c r="X6" s="433">
        <f>'Dev Cash Flow'!Y17</f>
        <v>44398</v>
      </c>
      <c r="Y6" s="433">
        <f>'Dev Cash Flow'!Z17</f>
        <v>44429</v>
      </c>
      <c r="Z6" t="s" s="384">
        <v>698</v>
      </c>
      <c r="AA6" s="433">
        <f>'Dev Cash Flow'!AB17</f>
        <v>44490</v>
      </c>
      <c r="AB6" s="433">
        <f>'Dev Cash Flow'!AC17</f>
        <v>44521</v>
      </c>
      <c r="AC6" s="433">
        <f>'Dev Cash Flow'!AD17</f>
        <v>44531</v>
      </c>
      <c r="AD6" s="433">
        <f>'Dev Cash Flow'!AE17</f>
        <v>44562</v>
      </c>
      <c r="AE6" s="433">
        <f>'Dev Cash Flow'!AF17</f>
        <v>44593</v>
      </c>
      <c r="AF6" s="433">
        <f>'Dev Cash Flow'!AG17</f>
        <v>44621</v>
      </c>
      <c r="AG6" s="433">
        <v>44652</v>
      </c>
      <c r="AH6" s="433">
        <v>44682</v>
      </c>
      <c r="AI6" s="433">
        <v>44713</v>
      </c>
      <c r="AJ6" s="433">
        <v>44743</v>
      </c>
      <c r="AK6" s="433">
        <v>44774</v>
      </c>
      <c r="AL6" s="433">
        <v>44805</v>
      </c>
      <c r="AM6" s="433">
        <v>44835</v>
      </c>
      <c r="AN6" s="433">
        <v>44866</v>
      </c>
      <c r="AO6" s="433">
        <v>44896</v>
      </c>
      <c r="AP6" s="433">
        <v>44927</v>
      </c>
      <c r="AQ6" s="433">
        <v>44958</v>
      </c>
      <c r="AR6" s="433">
        <v>44986</v>
      </c>
      <c r="AS6" s="432"/>
      <c r="AV6" s="435"/>
    </row>
    <row r="7" s="417" customFormat="1" ht="15" customHeight="1">
      <c r="A7" s="431"/>
      <c r="B7" s="387"/>
      <c r="C7" s="387"/>
      <c r="D7" s="387"/>
      <c r="E7" s="387"/>
      <c r="F7" s="387"/>
      <c r="G7" s="430"/>
      <c r="H7" s="431"/>
      <c r="I7" s="387"/>
      <c r="J7" s="387"/>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7"/>
      <c r="AJ7" s="387"/>
      <c r="AK7" s="387"/>
      <c r="AL7" s="387"/>
      <c r="AM7" s="387"/>
      <c r="AN7" s="387"/>
      <c r="AO7" s="387"/>
      <c r="AP7" s="387"/>
      <c r="AQ7" s="387"/>
      <c r="AR7" s="387"/>
      <c r="AS7" s="432"/>
      <c r="AV7" s="435"/>
    </row>
    <row r="8" s="417" customFormat="1" ht="15" customHeight="1">
      <c r="A8" t="s" s="436">
        <v>699</v>
      </c>
      <c r="B8" s="390"/>
      <c r="C8" s="390"/>
      <c r="D8" s="390"/>
      <c r="E8" s="379"/>
      <c r="F8" s="390"/>
      <c r="G8" s="430"/>
      <c r="H8" s="431"/>
      <c r="I8" s="390"/>
      <c r="J8" s="390"/>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390"/>
      <c r="AL8" s="390"/>
      <c r="AM8" s="390"/>
      <c r="AN8" s="390"/>
      <c r="AO8" s="390"/>
      <c r="AP8" s="390"/>
      <c r="AQ8" s="390"/>
      <c r="AR8" s="390"/>
      <c r="AS8" s="432"/>
      <c r="AV8" s="435"/>
    </row>
    <row r="9" s="417" customFormat="1" ht="15" customHeight="1">
      <c r="A9" t="s" s="437">
        <v>700</v>
      </c>
      <c r="B9" s="438">
        <f>IF(D1="Design &amp; Build",'Dev Cost Breakdown'!C81*2%,0)</f>
        <v>20460</v>
      </c>
      <c r="C9" s="438"/>
      <c r="D9" s="438">
        <f>SUM(B9:C9)</f>
        <v>20460</v>
      </c>
      <c r="E9" t="s" s="384">
        <v>701</v>
      </c>
      <c r="F9" s="439">
        <v>43952</v>
      </c>
      <c r="G9" s="440">
        <v>5</v>
      </c>
      <c r="H9" s="441">
        <v>2020</v>
      </c>
      <c r="I9" t="s" s="442">
        <f>IF(AND(MONTH(I6)=$G$9,YEAR(I6)=$H$9),$D$9,"")</f>
      </c>
      <c r="J9" s="438">
        <f>IF(AND(MONTH(J6)=$G$9,YEAR(J6)=$H$9),$D$9,"")</f>
        <v>20460</v>
      </c>
      <c r="K9" t="s" s="442">
        <f>IF(AND(MONTH(K6)=$G$9,YEAR(K6)=$H$9),$D$9,"")</f>
      </c>
      <c r="L9" t="s" s="442">
        <f>IF(AND(MONTH(L6)=$G$9,YEAR(L6)=$H$9),$D$9,"")</f>
      </c>
      <c r="M9" t="s" s="442">
        <f>IF(AND(MONTH(M6)=$G$9,YEAR(M6)=$H$9),$D$9,"")</f>
      </c>
      <c r="N9" t="s" s="442">
        <f>IF(AND(MONTH(N6)=$G$9,YEAR(N6)=$H$9),$D$9,"")</f>
      </c>
      <c r="O9" t="s" s="442">
        <f>IF(AND(MONTH(O6)=$G$9,YEAR(O6)=$H$9),$D$9,"")</f>
      </c>
      <c r="P9" t="s" s="442">
        <f>IF(AND(MONTH(P6)=$G$9,YEAR(P6)=$H$9),$D$9,"")</f>
      </c>
      <c r="Q9" t="s" s="442">
        <f>IF(AND(MONTH(Q6)=$G$9,YEAR(Q6)=$H$9),$D$9,"")</f>
      </c>
      <c r="R9" t="s" s="442">
        <f>IF(AND(MONTH(R6)=$G$9,YEAR(R6)=$H$9),$D$9,"")</f>
      </c>
      <c r="S9" t="s" s="442">
        <f>IF(AND(MONTH(S6)=$G$9,YEAR(S6)=$H$9),$D$9,"")</f>
      </c>
      <c r="T9" t="s" s="442">
        <f>IF(AND(MONTH(T6)=$G$9,YEAR(T6)=$H$9),$D$9,"")</f>
      </c>
      <c r="U9" t="s" s="442">
        <f>IF(AND(MONTH(U6)=$G$9,YEAR(U6)=$H$9),$D$9,"")</f>
      </c>
      <c r="V9" t="s" s="442">
        <f>IF(AND(MONTH(V6)=$G$9,YEAR(V6)=$H$9),$D$9,"")</f>
      </c>
      <c r="W9" t="s" s="442">
        <f>IF(AND(MONTH(W6)=$G$9,YEAR(W6)=$H$9),$D$9,"")</f>
      </c>
      <c r="X9" t="s" s="442">
        <f>IF(AND(MONTH(X6)=$G$9,YEAR(X6)=$H$9),$D$9,"")</f>
      </c>
      <c r="Y9" t="s" s="442">
        <f>IF(AND(MONTH(Y6)=$G$9,YEAR(Y6)=$H$9),$D$9,"")</f>
      </c>
      <c r="Z9" t="s" s="442">
        <f>IF(AND(MONTH(Z6)=$G$9,YEAR(Z6)=$H$9),$D$9,"")</f>
      </c>
      <c r="AA9" t="s" s="442">
        <f>IF(AND(MONTH(AA6)=$G$9,YEAR(AA6)=$H$9),$D$9,"")</f>
      </c>
      <c r="AB9" t="s" s="442">
        <f>IF(AND(MONTH(AB6)=$G$9,YEAR(AB6)=$H$9),$D$9,"")</f>
      </c>
      <c r="AC9" t="s" s="442">
        <f>IF(AND(MONTH(AC6)=$G$9,YEAR(AC6)=$H$9),$D$9,"")</f>
      </c>
      <c r="AD9" t="s" s="442">
        <f>IF(AND(MONTH(AD6)=$G$9,YEAR(AD6)=$H$9),$D$9,"")</f>
      </c>
      <c r="AE9" t="s" s="442">
        <f>IF(AND(MONTH(AE6)=$G$9,YEAR(AE6)=$H$9),$D$9,"")</f>
      </c>
      <c r="AF9" t="s" s="442">
        <f>IF(AND(MONTH(AF6)=$G$9,YEAR(AF6)=$H$9),$D$9,"")</f>
      </c>
      <c r="AG9" t="s" s="442">
        <f>IF(AND(MONTH(AG6)=$G$9,YEAR(AG6)=$H$9),$D$9,"")</f>
      </c>
      <c r="AH9" t="s" s="442">
        <f>IF(AND(MONTH(AH6)=$G$9,YEAR(AH6)=$H$9),$D$9,"")</f>
      </c>
      <c r="AI9" t="s" s="442">
        <f>IF(AND(MONTH(AI6)=$G$9,YEAR(AI6)=$H$9),$D$9,"")</f>
      </c>
      <c r="AJ9" t="s" s="442">
        <f>IF(AND(MONTH(AJ6)=$G$9,YEAR(AJ6)=$H$9),$D$9,"")</f>
      </c>
      <c r="AK9" t="s" s="442">
        <f>IF(AND(MONTH(AK6)=$G$9,YEAR(AK6)=$H$9),$D$9,"")</f>
      </c>
      <c r="AL9" t="s" s="442">
        <f>IF(AND(MONTH(AL6)=$G$9,YEAR(AL6)=$H$9),$D$9,"")</f>
      </c>
      <c r="AM9" t="s" s="442">
        <f>IF(AND(MONTH(AM6)=$G$9,YEAR(AM6)=$H$9),$D$9,"")</f>
      </c>
      <c r="AN9" t="s" s="442">
        <f>IF(AND(MONTH(AN6)=$G$9,YEAR(AN6)=$H$9),$D$9,"")</f>
      </c>
      <c r="AO9" t="s" s="442">
        <f>IF(AND(MONTH(AO6)=$G$9,YEAR(AO6)=$H$9),$D$9,"")</f>
      </c>
      <c r="AP9" t="s" s="442">
        <f>IF(AND(MONTH(AP6)=$G$9,YEAR(AP6)=$H$9),$D$9,"")</f>
      </c>
      <c r="AQ9" t="s" s="442">
        <f>IF(AND(MONTH(AQ6)=$G$9,YEAR(AQ6)=$H$9),$D$9,"")</f>
      </c>
      <c r="AR9" t="s" s="442">
        <f>IF(AND(MONTH(AR6)=$G$9,YEAR(AR6)=$H$9),$D$9,"")</f>
      </c>
      <c r="AS9" s="432"/>
      <c r="AT9" s="443">
        <f>D9-SUM(I9:AR9)</f>
        <v>0</v>
      </c>
      <c r="AV9" s="435"/>
    </row>
    <row r="10" s="417" customFormat="1" ht="15" customHeight="1">
      <c r="A10" t="s" s="437">
        <v>702</v>
      </c>
      <c r="B10" s="438">
        <f>IF(D1="Design &amp; Build",'Dev Cost Breakdown'!C81*1.5%,0)</f>
        <v>15345</v>
      </c>
      <c r="C10" s="438"/>
      <c r="D10" s="438">
        <f>SUM(B10:C10)</f>
        <v>15345</v>
      </c>
      <c r="E10" t="s" s="384">
        <v>703</v>
      </c>
      <c r="F10" s="439">
        <v>43983</v>
      </c>
      <c r="G10" s="440">
        <v>6</v>
      </c>
      <c r="H10" s="441">
        <v>2020</v>
      </c>
      <c r="I10" t="s" s="442">
        <f>IF(AND(MONTH(I6)=$G$10,YEAR(I6)=$H$10),$D$10,"")</f>
      </c>
      <c r="J10" t="s" s="442">
        <f>IF(AND(MONTH(J6)=$G$10,YEAR(J6)=$H$10),$D$10,"")</f>
      </c>
      <c r="K10" s="438">
        <f>IF(AND(MONTH(K6)=$G$10,YEAR(K6)=$H$10),$D$10,"")</f>
        <v>15345</v>
      </c>
      <c r="L10" t="s" s="442">
        <f>IF(AND(MONTH(L6)=$G$10,YEAR(L6)=$H$10),$D$10,"")</f>
      </c>
      <c r="M10" t="s" s="442">
        <f>IF(AND(MONTH(M6)=$G$10,YEAR(M6)=$H$10),$D$10,"")</f>
      </c>
      <c r="N10" t="s" s="442">
        <f>IF(AND(MONTH(N6)=$G$10,YEAR(N6)=$H$10),$D$10,"")</f>
      </c>
      <c r="O10" t="s" s="442">
        <f>IF(AND(MONTH(O6)=$G$10,YEAR(O6)=$H$10),$D$10,"")</f>
      </c>
      <c r="P10" t="s" s="442">
        <f>IF(AND(MONTH(P6)=$G$10,YEAR(P6)=$H$10),$D$10,"")</f>
      </c>
      <c r="Q10" t="s" s="442">
        <f>IF(AND(MONTH(Q6)=$G$10,YEAR(Q6)=$H$10),$D$10,"")</f>
      </c>
      <c r="R10" t="s" s="442">
        <f>IF(AND(MONTH(R6)=$G$10,YEAR(R6)=$H$10),$D$10,"")</f>
      </c>
      <c r="S10" t="s" s="442">
        <f>IF(AND(MONTH(S6)=$G$10,YEAR(S6)=$H$10),$D$10,"")</f>
      </c>
      <c r="T10" t="s" s="442">
        <f>IF(AND(MONTH(T6)=$G$10,YEAR(T6)=$H$10),$D$10,"")</f>
      </c>
      <c r="U10" t="s" s="442">
        <f>IF(AND(MONTH(U6)=$G$10,YEAR(U6)=$H$10),$D$10,"")</f>
      </c>
      <c r="V10" t="s" s="442">
        <f>IF(AND(MONTH(V6)=$G$10,YEAR(V6)=$H$10),$D$10,"")</f>
      </c>
      <c r="W10" t="s" s="442">
        <f>IF(AND(MONTH(W6)=$G$10,YEAR(W6)=$H$10),$D$10,"")</f>
      </c>
      <c r="X10" t="s" s="442">
        <f>IF(AND(MONTH(X6)=$G$10,YEAR(X6)=$H$10),$D$10,"")</f>
      </c>
      <c r="Y10" t="s" s="442">
        <f>IF(AND(MONTH(Y6)=$G$10,YEAR(Y6)=$H$10),$D$10,"")</f>
      </c>
      <c r="Z10" t="s" s="442">
        <f>IF(AND(MONTH(Z6)=$G$10,YEAR(Z6)=$H$10),$D$10,"")</f>
      </c>
      <c r="AA10" t="s" s="442">
        <f>IF(AND(MONTH(AA6)=$G$10,YEAR(AA6)=$H$10),$D$10,"")</f>
      </c>
      <c r="AB10" t="s" s="442">
        <f>IF(AND(MONTH(AB6)=$G$10,YEAR(AB6)=$H$10),$D$10,"")</f>
      </c>
      <c r="AC10" t="s" s="442">
        <f>IF(AND(MONTH(AC6)=$G$10,YEAR(AC6)=$H$10),$D$10,"")</f>
      </c>
      <c r="AD10" t="s" s="442">
        <f>IF(AND(MONTH(AD6)=$G$10,YEAR(AD6)=$H$10),$D$10,"")</f>
      </c>
      <c r="AE10" t="s" s="442">
        <f>IF(AND(MONTH(AE6)=$G$10,YEAR(AE6)=$H$10),$D$10,"")</f>
      </c>
      <c r="AF10" t="s" s="442">
        <f>IF(AND(MONTH(AF6)=$G$10,YEAR(AF6)=$H$10),$D$10,"")</f>
      </c>
      <c r="AG10" t="s" s="442">
        <f>IF(AND(MONTH(AG6)=$G$10,YEAR(AG6)=$H$10),$D$10,"")</f>
      </c>
      <c r="AH10" t="s" s="442">
        <f>IF(AND(MONTH(AH6)=$G$10,YEAR(AH6)=$H$10),$D$10,"")</f>
      </c>
      <c r="AI10" t="s" s="442">
        <f>IF(AND(MONTH(AI6)=$G$10,YEAR(AI6)=$H$10),$D$10,"")</f>
      </c>
      <c r="AJ10" t="s" s="442">
        <f>IF(AND(MONTH(AJ6)=$G$10,YEAR(AJ6)=$H$10),$D$10,"")</f>
      </c>
      <c r="AK10" t="s" s="442">
        <f>IF(AND(MONTH(AK6)=$G$10,YEAR(AK6)=$H$10),$D$10,"")</f>
      </c>
      <c r="AL10" t="s" s="442">
        <f>IF(AND(MONTH(AL6)=$G$10,YEAR(AL6)=$H$10),$D$10,"")</f>
      </c>
      <c r="AM10" t="s" s="442">
        <f>IF(AND(MONTH(AM6)=$G$10,YEAR(AM6)=$H$10),$D$10,"")</f>
      </c>
      <c r="AN10" t="s" s="442">
        <f>IF(AND(MONTH(AN6)=$G$10,YEAR(AN6)=$H$10),$D$10,"")</f>
      </c>
      <c r="AO10" t="s" s="442">
        <f>IF(AND(MONTH(AO6)=$G$10,YEAR(AO6)=$H$10),$D$10,"")</f>
      </c>
      <c r="AP10" t="s" s="442">
        <f>IF(AND(MONTH(AP6)=$G$10,YEAR(AP6)=$H$10),$D$10,"")</f>
      </c>
      <c r="AQ10" t="s" s="442">
        <f>IF(AND(MONTH(AQ6)=$G$10,YEAR(AQ6)=$H$10),$D$10,"")</f>
      </c>
      <c r="AR10" t="s" s="442">
        <f>IF(AND(MONTH(AR6)=$G$10,YEAR(AR6)=$H$10),$D$10,"")</f>
      </c>
      <c r="AS10" s="432"/>
      <c r="AT10" s="443">
        <f>D10-SUM(I10:AR10)</f>
        <v>0</v>
      </c>
      <c r="AV10" s="435"/>
    </row>
    <row r="11" s="417" customFormat="1" ht="15" customHeight="1">
      <c r="A11" t="s" s="437">
        <v>704</v>
      </c>
      <c r="B11" s="438">
        <f>IF(D1="Design &amp; Build",'Dev Cost Breakdown'!C81*2%,0)</f>
        <v>20460</v>
      </c>
      <c r="C11" s="438"/>
      <c r="D11" s="438">
        <f>SUM(B11:C11)</f>
        <v>20460</v>
      </c>
      <c r="E11" t="s" s="384">
        <v>705</v>
      </c>
      <c r="F11" s="439">
        <v>44013</v>
      </c>
      <c r="G11" s="440">
        <v>7</v>
      </c>
      <c r="H11" s="441">
        <v>2020</v>
      </c>
      <c r="I11" t="s" s="442">
        <f>IF(AND(MONTH(I6)=$G$11,YEAR(I6)=$H$11),$D$11,"")</f>
      </c>
      <c r="J11" t="s" s="442">
        <f>IF(AND(MONTH(J6)=$G$11,YEAR(J6)=$H$11),$D$11,"")</f>
      </c>
      <c r="K11" t="s" s="442">
        <f>IF(AND(MONTH(K6)=$G$11,YEAR(K6)=$H$11),$D$11,"")</f>
      </c>
      <c r="L11" s="438">
        <f>IF(AND(MONTH(L6)=$G$11,YEAR(L6)=$H$11),$D$11,"")</f>
        <v>20460</v>
      </c>
      <c r="M11" t="s" s="442">
        <f>IF(AND(MONTH(M6)=$G$11,YEAR(M6)=$H$11),$D$11,"")</f>
      </c>
      <c r="N11" t="s" s="442">
        <f>IF(AND(MONTH(N6)=$G$11,YEAR(N6)=$H$11),$D$11,"")</f>
      </c>
      <c r="O11" t="s" s="442">
        <f>IF(AND(MONTH(O6)=$G$11,YEAR(O6)=$H$11),$D$11,"")</f>
      </c>
      <c r="P11" t="s" s="442">
        <f>IF(AND(MONTH(P6)=$G$11,YEAR(P6)=$H$11),$D$11,"")</f>
      </c>
      <c r="Q11" t="s" s="442">
        <f>IF(AND(MONTH(Q6)=$G$11,YEAR(Q6)=$H$11),$D$11,"")</f>
      </c>
      <c r="R11" t="s" s="442">
        <f>IF(AND(MONTH(R6)=$G$11,YEAR(R6)=$H$11),$D$11,"")</f>
      </c>
      <c r="S11" t="s" s="442">
        <f>IF(AND(MONTH(S6)=$G$11,YEAR(S6)=$H$11),$D$11,"")</f>
      </c>
      <c r="T11" t="s" s="442">
        <f>IF(AND(MONTH(T6)=$G$11,YEAR(T6)=$H$11),$D$11,"")</f>
      </c>
      <c r="U11" t="s" s="442">
        <f>IF(AND(MONTH(U6)=$G$11,YEAR(U6)=$H$11),$D$11,"")</f>
      </c>
      <c r="V11" t="s" s="442">
        <f>IF(AND(MONTH(V6)=$G$11,YEAR(V6)=$H$11),$D$11,"")</f>
      </c>
      <c r="W11" t="s" s="442">
        <f>IF(AND(MONTH(W6)=$G$11,YEAR(W6)=$H$11),$D$11,"")</f>
      </c>
      <c r="X11" t="s" s="442">
        <f>IF(AND(MONTH(X6)=$G$11,YEAR(X6)=$H$11),$D$11,"")</f>
      </c>
      <c r="Y11" t="s" s="442">
        <f>IF(AND(MONTH(Y6)=$G$11,YEAR(Y6)=$H$11),$D$11,"")</f>
      </c>
      <c r="Z11" t="s" s="442">
        <f>IF(AND(MONTH(Z6)=$G$11,YEAR(Z6)=$H$11),$D$11,"")</f>
      </c>
      <c r="AA11" t="s" s="442">
        <f>IF(AND(MONTH(AA6)=$G$11,YEAR(AA6)=$H$11),$D$11,"")</f>
      </c>
      <c r="AB11" t="s" s="442">
        <f>IF(AND(MONTH(AB6)=$G$11,YEAR(AB6)=$H$11),$D$11,"")</f>
      </c>
      <c r="AC11" t="s" s="442">
        <f>IF(AND(MONTH(AC6)=$G$11,YEAR(AC6)=$H$11),$D$11,"")</f>
      </c>
      <c r="AD11" t="s" s="442">
        <f>IF(AND(MONTH(AD6)=$G$11,YEAR(AD6)=$H$11),$D$11,"")</f>
      </c>
      <c r="AE11" t="s" s="442">
        <f>IF(AND(MONTH(AE6)=$G$11,YEAR(AE6)=$H$11),$D$11,"")</f>
      </c>
      <c r="AF11" t="s" s="442">
        <f>IF(AND(MONTH(AF6)=$G$11,YEAR(AF6)=$H$11),$D$11,"")</f>
      </c>
      <c r="AG11" t="s" s="442">
        <f>IF(AND(MONTH(AG6)=$G$11,YEAR(AG6)=$H$11),$D$11,"")</f>
      </c>
      <c r="AH11" t="s" s="442">
        <f>IF(AND(MONTH(AH6)=$G$11,YEAR(AH6)=$H$11),$D$11,"")</f>
      </c>
      <c r="AI11" t="s" s="442">
        <f>IF(AND(MONTH(AI6)=$G$11,YEAR(AI6)=$H$11),$D$11,"")</f>
      </c>
      <c r="AJ11" t="s" s="442">
        <f>IF(AND(MONTH(AJ6)=$G$11,YEAR(AJ6)=$H$11),$D$11,"")</f>
      </c>
      <c r="AK11" t="s" s="442">
        <f>IF(AND(MONTH(AK6)=$G$11,YEAR(AK6)=$H$11),$D$11,"")</f>
      </c>
      <c r="AL11" t="s" s="442">
        <f>IF(AND(MONTH(AL6)=$G$11,YEAR(AL6)=$H$11),$D$11,"")</f>
      </c>
      <c r="AM11" t="s" s="442">
        <f>IF(AND(MONTH(AM6)=$G$11,YEAR(AM6)=$H$11),$D$11,"")</f>
      </c>
      <c r="AN11" t="s" s="442">
        <f>IF(AND(MONTH(AN6)=$G$11,YEAR(AN6)=$H$11),$D$11,"")</f>
      </c>
      <c r="AO11" t="s" s="442">
        <f>IF(AND(MONTH(AO6)=$G$11,YEAR(AO6)=$H$11),$D$11,"")</f>
      </c>
      <c r="AP11" t="s" s="442">
        <f>IF(AND(MONTH(AP6)=$G$11,YEAR(AP6)=$H$11),$D$11,"")</f>
      </c>
      <c r="AQ11" t="s" s="442">
        <f>IF(AND(MONTH(AQ6)=$G$11,YEAR(AQ6)=$H$11),$D$11,"")</f>
      </c>
      <c r="AR11" t="s" s="442">
        <f>IF(AND(MONTH(AR6)=$G$11,YEAR(AR6)=$H$11),$D$11,"")</f>
      </c>
      <c r="AS11" s="432"/>
      <c r="AT11" s="443">
        <f>D11-SUM(I11:AR11)</f>
        <v>0</v>
      </c>
    </row>
    <row r="12" s="417" customFormat="1" ht="15" customHeight="1">
      <c r="A12" s="431"/>
      <c r="B12" s="438"/>
      <c r="C12" s="438"/>
      <c r="D12" s="438"/>
      <c r="E12" s="444"/>
      <c r="F12" s="439"/>
      <c r="G12" s="445"/>
      <c r="H12" s="446"/>
      <c r="I12" s="447"/>
      <c r="J12" s="447"/>
      <c r="K12" s="447"/>
      <c r="L12" s="447"/>
      <c r="M12" s="447"/>
      <c r="N12" s="447"/>
      <c r="O12" s="447"/>
      <c r="P12" s="447"/>
      <c r="Q12" s="447"/>
      <c r="R12" s="447"/>
      <c r="S12" s="447"/>
      <c r="T12" s="447"/>
      <c r="U12" s="447"/>
      <c r="V12" s="447"/>
      <c r="W12" s="447"/>
      <c r="X12" s="447"/>
      <c r="Y12" s="447"/>
      <c r="Z12" s="447"/>
      <c r="AA12" s="447"/>
      <c r="AB12" s="447"/>
      <c r="AC12" s="447"/>
      <c r="AD12" s="447"/>
      <c r="AE12" s="447"/>
      <c r="AF12" s="447"/>
      <c r="AG12" s="447"/>
      <c r="AH12" s="447"/>
      <c r="AI12" s="447"/>
      <c r="AJ12" s="447"/>
      <c r="AK12" s="447"/>
      <c r="AL12" s="447"/>
      <c r="AM12" s="447"/>
      <c r="AN12" s="447"/>
      <c r="AO12" s="447"/>
      <c r="AP12" s="447"/>
      <c r="AQ12" s="447"/>
      <c r="AR12" s="447"/>
      <c r="AS12" s="432"/>
      <c r="AT12" s="443"/>
      <c r="AV12" s="435"/>
    </row>
    <row r="13" s="417" customFormat="1" ht="15" customHeight="1">
      <c r="A13" t="s" s="436">
        <v>706</v>
      </c>
      <c r="B13" s="448"/>
      <c r="C13" s="448"/>
      <c r="D13" s="448"/>
      <c r="E13" s="444"/>
      <c r="F13" s="439"/>
      <c r="G13" s="445"/>
      <c r="H13" s="446"/>
      <c r="I13" s="449"/>
      <c r="J13" s="449"/>
      <c r="K13" s="449"/>
      <c r="L13" s="449"/>
      <c r="M13" s="449"/>
      <c r="N13" s="449"/>
      <c r="O13" s="449"/>
      <c r="P13" s="449"/>
      <c r="Q13" s="449"/>
      <c r="R13" s="449"/>
      <c r="S13" s="449"/>
      <c r="T13" s="449"/>
      <c r="U13" s="449"/>
      <c r="V13" s="449"/>
      <c r="W13" s="449"/>
      <c r="X13" s="449"/>
      <c r="Y13" s="449"/>
      <c r="Z13" s="449"/>
      <c r="AA13" s="449"/>
      <c r="AB13" s="449"/>
      <c r="AC13" s="449"/>
      <c r="AD13" s="449"/>
      <c r="AE13" s="449"/>
      <c r="AF13" s="449"/>
      <c r="AG13" s="449"/>
      <c r="AH13" s="449"/>
      <c r="AI13" s="449"/>
      <c r="AJ13" s="449"/>
      <c r="AK13" s="449"/>
      <c r="AL13" s="449"/>
      <c r="AM13" s="449"/>
      <c r="AN13" s="449"/>
      <c r="AO13" s="449"/>
      <c r="AP13" s="449"/>
      <c r="AQ13" s="449"/>
      <c r="AR13" s="449"/>
      <c r="AS13" s="432"/>
      <c r="AT13" s="443"/>
      <c r="AV13" s="435"/>
    </row>
    <row r="14" s="417" customFormat="1" ht="15" customHeight="1">
      <c r="A14" t="s" s="437">
        <v>707</v>
      </c>
      <c r="B14" s="438">
        <f>IF(D1="Off the Shelf",'Dev Cash Flow'!F18*2%,0)</f>
        <v>0</v>
      </c>
      <c r="C14" s="438"/>
      <c r="D14" s="438">
        <f>SUM(B14:C14)</f>
        <v>0</v>
      </c>
      <c r="E14" t="s" s="384">
        <v>705</v>
      </c>
      <c r="F14" s="439"/>
      <c r="G14" s="440">
        <v>6</v>
      </c>
      <c r="H14" s="441">
        <v>2020</v>
      </c>
      <c r="I14" t="s" s="442">
        <f>IF(AND(MONTH(I6)=$G$14,YEAR(I6)=$H$14),$D$14,"")</f>
      </c>
      <c r="J14" t="s" s="442">
        <f>IF(AND(MONTH(J6)=$G$14,YEAR(J6)=$H$14),$D$14,"")</f>
      </c>
      <c r="K14" s="438">
        <f>IF(AND(MONTH(K6)=$G$14,YEAR(K6)=$H$14),$D$14,"")</f>
        <v>0</v>
      </c>
      <c r="L14" t="s" s="442">
        <f>IF(AND(MONTH(L6)=$G$14,YEAR(L6)=$H$14),$D$14,"")</f>
      </c>
      <c r="M14" t="s" s="442">
        <f>IF(AND(MONTH(M6)=$G$14,YEAR(M6)=$H$14),$D$14,"")</f>
      </c>
      <c r="N14" t="s" s="442">
        <f>IF(AND(MONTH(N6)=$G$14,YEAR(N6)=$H$14),$D$14,"")</f>
      </c>
      <c r="O14" t="s" s="442">
        <f>IF(AND(MONTH(O6)=$G$14,YEAR(O6)=$H$14),$D$14,"")</f>
      </c>
      <c r="P14" t="s" s="442">
        <f>IF(AND(MONTH(P6)=$G$14,YEAR(P6)=$H$14),$D$14,"")</f>
      </c>
      <c r="Q14" t="s" s="442">
        <f>IF(AND(MONTH(Q6)=$G$14,YEAR(Q6)=$H$14),$D$14,"")</f>
      </c>
      <c r="R14" t="s" s="442">
        <f>IF(AND(MONTH(R6)=$G$14,YEAR(R6)=$H$14),$D$14,"")</f>
      </c>
      <c r="S14" t="s" s="442">
        <f>IF(AND(MONTH(S6)=$G$14,YEAR(S6)=$H$14),$D$14,"")</f>
      </c>
      <c r="T14" t="s" s="442">
        <f>IF(AND(MONTH(T6)=$G$14,YEAR(T6)=$H$14),$D$14,"")</f>
      </c>
      <c r="U14" t="s" s="442">
        <f>IF(AND(MONTH(U6)=$G$14,YEAR(U6)=$H$14),$D$14,"")</f>
      </c>
      <c r="V14" t="s" s="442">
        <f>IF(AND(MONTH(V6)=$G$14,YEAR(V6)=$H$14),$D$14,"")</f>
      </c>
      <c r="W14" t="s" s="442">
        <f>IF(AND(MONTH(W6)=$G$14,YEAR(W6)=$H$14),$D$14,"")</f>
      </c>
      <c r="X14" t="s" s="442">
        <f>IF(AND(MONTH(X6)=$G$14,YEAR(X6)=$H$14),$D$14,"")</f>
      </c>
      <c r="Y14" t="s" s="442">
        <f>IF(AND(MONTH(Y6)=$G$14,YEAR(Y6)=$H$14),$D$14,"")</f>
      </c>
      <c r="Z14" t="s" s="442">
        <f>IF(AND(MONTH(Z6)=$G$14,YEAR(Z6)=$H$14),$D$14,"")</f>
      </c>
      <c r="AA14" t="s" s="442">
        <f>IF(AND(MONTH(AA6)=$G$14,YEAR(AA6)=$H$14),$D$14,"")</f>
      </c>
      <c r="AB14" t="s" s="442">
        <f>IF(AND(MONTH(AB6)=$G$14,YEAR(AB6)=$H$14),$D$14,"")</f>
      </c>
      <c r="AC14" t="s" s="442">
        <f>IF(AND(MONTH(AC6)=$G$14,YEAR(AC6)=$H$14),$D$14,"")</f>
      </c>
      <c r="AD14" t="s" s="442">
        <f>IF(AND(MONTH(AD6)=$G$14,YEAR(AD6)=$H$14),$D$14,"")</f>
      </c>
      <c r="AE14" t="s" s="442">
        <f>IF(AND(MONTH(AE6)=$G$14,YEAR(AE6)=$H$14),$D$14,"")</f>
      </c>
      <c r="AF14" t="s" s="442">
        <f>IF(AND(MONTH(AF6)=$G$14,YEAR(AF6)=$H$14),$D$14,"")</f>
      </c>
      <c r="AG14" t="s" s="442">
        <f>IF(AND(MONTH(AG6)=$G$14,YEAR(AG6)=$H$14),$D$14,"")</f>
      </c>
      <c r="AH14" t="s" s="442">
        <f>IF(AND(MONTH(AH6)=$G$14,YEAR(AH6)=$H$14),$D$14,"")</f>
      </c>
      <c r="AI14" t="s" s="442">
        <f>IF(AND(MONTH(AI6)=$G$14,YEAR(AI6)=$H$14),$D$14,"")</f>
      </c>
      <c r="AJ14" t="s" s="442">
        <f>IF(AND(MONTH(AJ6)=$G$14,YEAR(AJ6)=$H$14),$D$14,"")</f>
      </c>
      <c r="AK14" t="s" s="442">
        <f>IF(AND(MONTH(AK6)=$G$14,YEAR(AK6)=$H$14),$D$14,"")</f>
      </c>
      <c r="AL14" t="s" s="442">
        <f>IF(AND(MONTH(AL6)=$G$14,YEAR(AL6)=$H$14),$D$14,"")</f>
      </c>
      <c r="AM14" t="s" s="442">
        <f>IF(AND(MONTH(AM6)=$G$14,YEAR(AM6)=$H$14),$D$14,"")</f>
      </c>
      <c r="AN14" t="s" s="442">
        <f>IF(AND(MONTH(AN6)=$G$14,YEAR(AN6)=$H$14),$D$14,"")</f>
      </c>
      <c r="AO14" t="s" s="442">
        <f>IF(AND(MONTH(AO6)=$G$14,YEAR(AO6)=$H$14),$D$14,"")</f>
      </c>
      <c r="AP14" t="s" s="442">
        <f>IF(AND(MONTH(AP6)=$G$14,YEAR(AP6)=$H$14),$D$14,"")</f>
      </c>
      <c r="AQ14" t="s" s="442">
        <f>IF(AND(MONTH(AQ6)=$G$14,YEAR(AQ6)=$H$14),$D$14,"")</f>
      </c>
      <c r="AR14" t="s" s="442">
        <f>IF(AND(MONTH(AR6)=$G$14,YEAR(AR6)=$H$14),$D$14,"")</f>
      </c>
      <c r="AS14" s="432"/>
      <c r="AT14" s="443">
        <f>D14-SUM(I14:AR14)</f>
        <v>0</v>
      </c>
      <c r="AV14" s="435"/>
    </row>
    <row r="15" s="417" customFormat="1" ht="15" customHeight="1">
      <c r="A15" s="431"/>
      <c r="B15" s="447"/>
      <c r="C15" s="447"/>
      <c r="D15" s="447"/>
      <c r="E15" s="444"/>
      <c r="F15" s="439"/>
      <c r="G15" s="445"/>
      <c r="H15" s="446"/>
      <c r="I15" s="447"/>
      <c r="J15" s="447"/>
      <c r="K15" s="447"/>
      <c r="L15" s="447"/>
      <c r="M15" s="447"/>
      <c r="N15" s="447"/>
      <c r="O15" s="447"/>
      <c r="P15" s="447"/>
      <c r="Q15" s="447"/>
      <c r="R15" s="447"/>
      <c r="S15" s="447"/>
      <c r="T15" s="447"/>
      <c r="U15" s="447"/>
      <c r="V15" s="447"/>
      <c r="W15" s="447"/>
      <c r="X15" s="447"/>
      <c r="Y15" s="447"/>
      <c r="Z15" s="447"/>
      <c r="AA15" s="447"/>
      <c r="AB15" s="447"/>
      <c r="AC15" s="447"/>
      <c r="AD15" s="447"/>
      <c r="AE15" s="447"/>
      <c r="AF15" s="447"/>
      <c r="AG15" s="447"/>
      <c r="AH15" s="447"/>
      <c r="AI15" s="447"/>
      <c r="AJ15" s="447"/>
      <c r="AK15" s="447"/>
      <c r="AL15" s="447"/>
      <c r="AM15" s="447"/>
      <c r="AN15" s="447"/>
      <c r="AO15" s="447"/>
      <c r="AP15" s="447"/>
      <c r="AQ15" s="447"/>
      <c r="AR15" s="447"/>
      <c r="AS15" s="432"/>
      <c r="AT15" s="443"/>
      <c r="AV15" s="435"/>
    </row>
    <row r="16" s="417" customFormat="1" ht="15" customHeight="1">
      <c r="A16" t="s" s="436">
        <v>708</v>
      </c>
      <c r="B16" s="449"/>
      <c r="C16" s="449"/>
      <c r="D16" s="449"/>
      <c r="E16" s="444"/>
      <c r="F16" s="439"/>
      <c r="G16" s="445"/>
      <c r="H16" s="446"/>
      <c r="I16" s="449"/>
      <c r="J16" s="449"/>
      <c r="K16" s="449"/>
      <c r="L16" s="449"/>
      <c r="M16" s="449"/>
      <c r="N16" s="449"/>
      <c r="O16" s="449"/>
      <c r="P16" s="449"/>
      <c r="Q16" s="449"/>
      <c r="R16" s="449"/>
      <c r="S16" s="449"/>
      <c r="T16" s="449"/>
      <c r="U16" s="449"/>
      <c r="V16" s="449"/>
      <c r="W16" s="449"/>
      <c r="X16" s="449"/>
      <c r="Y16" s="449"/>
      <c r="Z16" s="449"/>
      <c r="AA16" s="449"/>
      <c r="AB16" s="449"/>
      <c r="AC16" s="449"/>
      <c r="AD16" s="449"/>
      <c r="AE16" s="449"/>
      <c r="AF16" s="449"/>
      <c r="AG16" s="449"/>
      <c r="AH16" s="449"/>
      <c r="AI16" s="449"/>
      <c r="AJ16" s="449"/>
      <c r="AK16" s="449"/>
      <c r="AL16" s="449"/>
      <c r="AM16" s="449"/>
      <c r="AN16" s="449"/>
      <c r="AO16" s="449"/>
      <c r="AP16" s="449"/>
      <c r="AQ16" s="449"/>
      <c r="AR16" s="449"/>
      <c r="AS16" s="432"/>
      <c r="AT16" s="443"/>
      <c r="AV16" s="435"/>
    </row>
    <row r="17" s="417" customFormat="1" ht="15" customHeight="1">
      <c r="A17" t="s" s="437">
        <v>709</v>
      </c>
      <c r="B17" s="438">
        <f>IF(D1="Traditional",'Dev Cost Breakdown'!C81*2.5%,0)</f>
        <v>0</v>
      </c>
      <c r="C17" s="438"/>
      <c r="D17" s="438">
        <f>SUM(B17:C17)</f>
        <v>0</v>
      </c>
      <c r="E17" t="s" s="384">
        <v>710</v>
      </c>
      <c r="F17" s="439"/>
      <c r="G17" s="440">
        <v>5</v>
      </c>
      <c r="H17" s="441">
        <v>2020</v>
      </c>
      <c r="I17" t="s" s="442">
        <f>IF(AND(MONTH(I6)=$G$17,YEAR(I6)=$H$17),$D$17,"")</f>
      </c>
      <c r="J17" s="438">
        <f>IF(AND(MONTH(J6)=$G$17,YEAR(J6)=$H$17),$D$17,"")</f>
        <v>0</v>
      </c>
      <c r="K17" t="s" s="442">
        <f>IF(AND(MONTH(K6)=$G$17,YEAR(K6)=$H$17),$D$17,"")</f>
      </c>
      <c r="L17" t="s" s="442">
        <f>IF(AND(MONTH(L6)=$G$17,YEAR(L6)=$H$17),$D$17,"")</f>
      </c>
      <c r="M17" t="s" s="442">
        <f>IF(AND(MONTH(M6)=$G$17,YEAR(M6)=$H$17),$D$17,"")</f>
      </c>
      <c r="N17" t="s" s="442">
        <f>IF(AND(MONTH(N6)=$G$17,YEAR(N6)=$H$17),$D$17,"")</f>
      </c>
      <c r="O17" t="s" s="442">
        <f>IF(AND(MONTH(O6)=$G$17,YEAR(O6)=$H$17),$D$17,"")</f>
      </c>
      <c r="P17" t="s" s="442">
        <f>IF(AND(MONTH(P6)=$G$17,YEAR(P6)=$H$17),$D$17,"")</f>
      </c>
      <c r="Q17" t="s" s="442">
        <f>IF(AND(MONTH(Q6)=$G$17,YEAR(Q6)=$H$17),$D$17,"")</f>
      </c>
      <c r="R17" t="s" s="442">
        <f>IF(AND(MONTH(R6)=$G$17,YEAR(R6)=$H$17),$D$17,"")</f>
      </c>
      <c r="S17" t="s" s="442">
        <f>IF(AND(MONTH(S6)=$G$17,YEAR(S6)=$H$17),$D$17,"")</f>
      </c>
      <c r="T17" t="s" s="442">
        <f>IF(AND(MONTH(T6)=$G$17,YEAR(T6)=$H$17),$D$17,"")</f>
      </c>
      <c r="U17" t="s" s="442">
        <f>IF(AND(MONTH(U6)=$G$17,YEAR(U6)=$H$17),$D$17,"")</f>
      </c>
      <c r="V17" t="s" s="442">
        <f>IF(AND(MONTH(V6)=$G$17,YEAR(V6)=$H$17),$D$17,"")</f>
      </c>
      <c r="W17" t="s" s="442">
        <f>IF(AND(MONTH(W6)=$G$17,YEAR(W6)=$H$17),$D$17,"")</f>
      </c>
      <c r="X17" t="s" s="442">
        <f>IF(AND(MONTH(X6)=$G$17,YEAR(X6)=$H$17),$D$17,"")</f>
      </c>
      <c r="Y17" t="s" s="442">
        <f>IF(AND(MONTH(Y6)=$G$17,YEAR(Y6)=$H$17),$D$17,"")</f>
      </c>
      <c r="Z17" t="s" s="442">
        <f>IF(AND(MONTH(Z6)=$G$17,YEAR(Z6)=$H$17),$D$17,"")</f>
      </c>
      <c r="AA17" t="s" s="442">
        <f>IF(AND(MONTH(AA6)=$G$17,YEAR(AA6)=$H$17),$D$17,"")</f>
      </c>
      <c r="AB17" t="s" s="442">
        <f>IF(AND(MONTH(AB6)=$G$17,YEAR(AB6)=$H$17),$D$17,"")</f>
      </c>
      <c r="AC17" t="s" s="442">
        <f>IF(AND(MONTH(AC6)=$G$17,YEAR(AC6)=$H$17),$D$17,"")</f>
      </c>
      <c r="AD17" t="s" s="442">
        <f>IF(AND(MONTH(AD6)=$G$17,YEAR(AD6)=$H$17),$D$17,"")</f>
      </c>
      <c r="AE17" t="s" s="442">
        <f>IF(AND(MONTH(AE6)=$G$17,YEAR(AE6)=$H$17),$D$17,"")</f>
      </c>
      <c r="AF17" t="s" s="442">
        <f>IF(AND(MONTH(AF6)=$G$17,YEAR(AF6)=$H$17),$D$17,"")</f>
      </c>
      <c r="AG17" t="s" s="442">
        <f>IF(AND(MONTH(AG6)=$G$17,YEAR(AG6)=$H$17),$D$17,"")</f>
      </c>
      <c r="AH17" t="s" s="442">
        <f>IF(AND(MONTH(AH6)=$G$17,YEAR(AH6)=$H$17),$D$17,"")</f>
      </c>
      <c r="AI17" t="s" s="442">
        <f>IF(AND(MONTH(AI6)=$G$17,YEAR(AI6)=$H$17),$D$17,"")</f>
      </c>
      <c r="AJ17" t="s" s="442">
        <f>IF(AND(MONTH(AJ6)=$G$17,YEAR(AJ6)=$H$17),$D$17,"")</f>
      </c>
      <c r="AK17" t="s" s="442">
        <f>IF(AND(MONTH(AK6)=$G$17,YEAR(AK6)=$H$17),$D$17,"")</f>
      </c>
      <c r="AL17" t="s" s="442">
        <f>IF(AND(MONTH(AL6)=$G$17,YEAR(AL6)=$H$17),$D$17,"")</f>
      </c>
      <c r="AM17" t="s" s="442">
        <f>IF(AND(MONTH(AM6)=$G$17,YEAR(AM6)=$H$17),$D$17,"")</f>
      </c>
      <c r="AN17" t="s" s="442">
        <f>IF(AND(MONTH(AN6)=$G$17,YEAR(AN6)=$H$17),$D$17,"")</f>
      </c>
      <c r="AO17" t="s" s="442">
        <f>IF(AND(MONTH(AO6)=$G$17,YEAR(AO6)=$H$17),$D$17,"")</f>
      </c>
      <c r="AP17" t="s" s="442">
        <f>IF(AND(MONTH(AP6)=$G$17,YEAR(AP6)=$H$17),$D$17,"")</f>
      </c>
      <c r="AQ17" t="s" s="442">
        <f>IF(AND(MONTH(AQ6)=$G$17,YEAR(AQ6)=$H$17),$D$17,"")</f>
      </c>
      <c r="AR17" t="s" s="442">
        <f>IF(AND(MONTH(AR6)=$G$17,YEAR(AR6)=$H$17),$D$17,"")</f>
      </c>
      <c r="AS17" s="432"/>
      <c r="AT17" s="443">
        <f>D17-SUM(I17:AR17)</f>
        <v>0</v>
      </c>
      <c r="AV17" s="435"/>
    </row>
    <row r="18" s="417" customFormat="1" ht="15" customHeight="1">
      <c r="A18" t="s" s="437">
        <v>711</v>
      </c>
      <c r="B18" s="438">
        <f>IF(D1="Traditional",'Dev Cost Breakdown'!C81*2.5%,0)</f>
        <v>0</v>
      </c>
      <c r="C18" s="438"/>
      <c r="D18" s="438">
        <f>SUM(B18:C18)</f>
        <v>0</v>
      </c>
      <c r="E18" t="s" s="384">
        <v>710</v>
      </c>
      <c r="F18" s="439"/>
      <c r="G18" s="440">
        <v>6</v>
      </c>
      <c r="H18" s="441">
        <v>2020</v>
      </c>
      <c r="I18" t="s" s="442">
        <f>IF(AND(MONTH(I6)=$G$18,YEAR(I6)=$H$18),$D$18,"")</f>
      </c>
      <c r="J18" t="s" s="442">
        <f>IF(AND(MONTH(J6)=$G$18,YEAR(J6)=$H$18),$D$18,"")</f>
      </c>
      <c r="K18" s="438">
        <f>IF(AND(MONTH(K6)=$G$18,YEAR(K6)=$H$18),$D$18,"")</f>
        <v>0</v>
      </c>
      <c r="L18" t="s" s="442">
        <f>IF(AND(MONTH(L6)=$G$18,YEAR(L6)=$H$18),$D$18,"")</f>
      </c>
      <c r="M18" t="s" s="442">
        <f>IF(AND(MONTH(M6)=$G$18,YEAR(M6)=$H$18),$D$18,"")</f>
      </c>
      <c r="N18" t="s" s="442">
        <f>IF(AND(MONTH(N6)=$G$18,YEAR(N6)=$H$18),$D$18,"")</f>
      </c>
      <c r="O18" t="s" s="442">
        <f>IF(AND(MONTH(O6)=$G$18,YEAR(O6)=$H$18),$D$18,"")</f>
      </c>
      <c r="P18" t="s" s="442">
        <f>IF(AND(MONTH(P6)=$G$18,YEAR(P6)=$H$18),$D$18,"")</f>
      </c>
      <c r="Q18" t="s" s="442">
        <f>IF(AND(MONTH(Q6)=$G$18,YEAR(Q6)=$H$18),$D$18,"")</f>
      </c>
      <c r="R18" t="s" s="442">
        <f>IF(AND(MONTH(R6)=$G$18,YEAR(R6)=$H$18),$D$18,"")</f>
      </c>
      <c r="S18" t="s" s="442">
        <f>IF(AND(MONTH(S6)=$G$18,YEAR(S6)=$H$18),$D$18,"")</f>
      </c>
      <c r="T18" t="s" s="442">
        <f>IF(AND(MONTH(T6)=$G$18,YEAR(T6)=$H$18),$D$18,"")</f>
      </c>
      <c r="U18" t="s" s="442">
        <f>IF(AND(MONTH(U6)=$G$18,YEAR(U6)=$H$18),$D$18,"")</f>
      </c>
      <c r="V18" t="s" s="442">
        <f>IF(AND(MONTH(V6)=$G$18,YEAR(V6)=$H$18),$D$18,"")</f>
      </c>
      <c r="W18" t="s" s="442">
        <f>IF(AND(MONTH(W6)=$G$18,YEAR(W6)=$H$18),$D$18,"")</f>
      </c>
      <c r="X18" t="s" s="442">
        <f>IF(AND(MONTH(X6)=$G$18,YEAR(X6)=$H$18),$D$18,"")</f>
      </c>
      <c r="Y18" t="s" s="442">
        <f>IF(AND(MONTH(Y6)=$G$18,YEAR(Y6)=$H$18),$D$18,"")</f>
      </c>
      <c r="Z18" t="s" s="442">
        <f>IF(AND(MONTH(Z6)=$G$18,YEAR(Z6)=$H$18),$D$18,"")</f>
      </c>
      <c r="AA18" t="s" s="442">
        <f>IF(AND(MONTH(AA6)=$G$18,YEAR(AA6)=$H$18),$D$18,"")</f>
      </c>
      <c r="AB18" t="s" s="442">
        <f>IF(AND(MONTH(AB6)=$G$18,YEAR(AB6)=$H$18),$D$18,"")</f>
      </c>
      <c r="AC18" t="s" s="442">
        <f>IF(AND(MONTH(AC6)=$G$18,YEAR(AC6)=$H$18),$D$18,"")</f>
      </c>
      <c r="AD18" t="s" s="442">
        <f>IF(AND(MONTH(AD6)=$G$18,YEAR(AD6)=$H$18),$D$18,"")</f>
      </c>
      <c r="AE18" t="s" s="442">
        <f>IF(AND(MONTH(AE6)=$G$18,YEAR(AE6)=$H$18),$D$18,"")</f>
      </c>
      <c r="AF18" t="s" s="442">
        <f>IF(AND(MONTH(AF6)=$G$18,YEAR(AF6)=$H$18),$D$18,"")</f>
      </c>
      <c r="AG18" t="s" s="442">
        <f>IF(AND(MONTH(AG6)=$G$18,YEAR(AG6)=$H$18),$D$18,"")</f>
      </c>
      <c r="AH18" t="s" s="442">
        <f>IF(AND(MONTH(AH6)=$G$18,YEAR(AH6)=$H$18),$D$18,"")</f>
      </c>
      <c r="AI18" t="s" s="442">
        <f>IF(AND(MONTH(AI6)=$G$18,YEAR(AI6)=$H$18),$D$18,"")</f>
      </c>
      <c r="AJ18" t="s" s="442">
        <f>IF(AND(MONTH(AJ6)=$G$18,YEAR(AJ6)=$H$18),$D$18,"")</f>
      </c>
      <c r="AK18" t="s" s="442">
        <f>IF(AND(MONTH(AK6)=$G$18,YEAR(AK6)=$H$18),$D$18,"")</f>
      </c>
      <c r="AL18" t="s" s="442">
        <f>IF(AND(MONTH(AL6)=$G$18,YEAR(AL6)=$H$18),$D$18,"")</f>
      </c>
      <c r="AM18" t="s" s="442">
        <f>IF(AND(MONTH(AM6)=$G$18,YEAR(AM6)=$H$18),$D$18,"")</f>
      </c>
      <c r="AN18" t="s" s="442">
        <f>IF(AND(MONTH(AN6)=$G$18,YEAR(AN6)=$H$18),$D$18,"")</f>
      </c>
      <c r="AO18" t="s" s="442">
        <f>IF(AND(MONTH(AO6)=$G$18,YEAR(AO6)=$H$18),$D$18,"")</f>
      </c>
      <c r="AP18" t="s" s="442">
        <f>IF(AND(MONTH(AP6)=$G$18,YEAR(AP6)=$H$18),$D$18,"")</f>
      </c>
      <c r="AQ18" t="s" s="442">
        <f>IF(AND(MONTH(AQ6)=$G$18,YEAR(AQ6)=$H$18),$D$18,"")</f>
      </c>
      <c r="AR18" t="s" s="442">
        <f>IF(AND(MONTH(AR6)=$G$18,YEAR(AR6)=$H$18),$D$18,"")</f>
      </c>
      <c r="AS18" s="432"/>
      <c r="AT18" s="443">
        <f>D18-SUM(I18:AR18)</f>
        <v>0</v>
      </c>
      <c r="AV18" s="435"/>
    </row>
    <row r="19" s="417" customFormat="1" ht="15" customHeight="1">
      <c r="A19" t="s" s="437">
        <v>712</v>
      </c>
      <c r="B19" s="438">
        <f>IF(D1="Traditional",'Dev Cost Breakdown'!C81*1%,0)</f>
        <v>0</v>
      </c>
      <c r="C19" s="438"/>
      <c r="D19" s="438">
        <f>SUM(B19:C19)</f>
        <v>0</v>
      </c>
      <c r="E19" t="s" s="384">
        <v>713</v>
      </c>
      <c r="F19" s="439"/>
      <c r="G19" s="440">
        <v>8</v>
      </c>
      <c r="H19" s="441">
        <v>2020</v>
      </c>
      <c r="I19" t="s" s="442">
        <f>IF(AND(MONTH(I6)=$G$19,YEAR(I6)=$H$19),$D$19,"")</f>
      </c>
      <c r="J19" t="s" s="442">
        <f>IF(AND(MONTH(J6)=$G$19,YEAR(J6)=$H$19),$D$19,"")</f>
      </c>
      <c r="K19" t="s" s="442">
        <f>IF(AND(MONTH(K6)=$G$19,YEAR(K6)=$H$19),$D$19,"")</f>
      </c>
      <c r="L19" t="s" s="442">
        <f>IF(AND(MONTH(L6)=$G$19,YEAR(L6)=$H$19),$D$19,"")</f>
      </c>
      <c r="M19" s="438">
        <f>IF(AND(MONTH(M6)=$G$19,YEAR(M6)=$H$19),$D$19,"")</f>
        <v>0</v>
      </c>
      <c r="N19" t="s" s="442">
        <f>IF(AND(MONTH(N6)=$G$19,YEAR(N6)=$H$19),$D$19,"")</f>
      </c>
      <c r="O19" t="s" s="442">
        <f>IF(AND(MONTH(O6)=$G$19,YEAR(O6)=$H$19),$D$19,"")</f>
      </c>
      <c r="P19" t="s" s="442">
        <f>IF(AND(MONTH(P6)=$G$19,YEAR(P6)=$H$19),$D$19,"")</f>
      </c>
      <c r="Q19" t="s" s="442">
        <f>IF(AND(MONTH(Q6)=$G$19,YEAR(Q6)=$H$19),$D$19,"")</f>
      </c>
      <c r="R19" t="s" s="442">
        <f>IF(AND(MONTH(R6)=$G$19,YEAR(R6)=$H$19),$D$19,"")</f>
      </c>
      <c r="S19" t="s" s="442">
        <f>IF(AND(MONTH(S6)=$G$19,YEAR(S6)=$H$19),$D$19,"")</f>
      </c>
      <c r="T19" t="s" s="442">
        <f>IF(AND(MONTH(T6)=$G$19,YEAR(T6)=$H$19),$D$19,"")</f>
      </c>
      <c r="U19" t="s" s="442">
        <f>IF(AND(MONTH(U6)=$G$19,YEAR(U6)=$H$19),$D$19,"")</f>
      </c>
      <c r="V19" t="s" s="442">
        <f>IF(AND(MONTH(V6)=$G$19,YEAR(V6)=$H$19),$D$19,"")</f>
      </c>
      <c r="W19" t="s" s="442">
        <f>IF(AND(MONTH(W6)=$G$19,YEAR(W6)=$H$19),$D$19,"")</f>
      </c>
      <c r="X19" t="s" s="442">
        <f>IF(AND(MONTH(X6)=$G$19,YEAR(X6)=$H$19),$D$19,"")</f>
      </c>
      <c r="Y19" t="s" s="442">
        <f>IF(AND(MONTH(Y6)=$G$19,YEAR(Y6)=$H$19),$D$19,"")</f>
      </c>
      <c r="Z19" t="s" s="442">
        <f>IF(AND(MONTH(Z6)=$G$19,YEAR(Z6)=$H$19),$D$19,"")</f>
      </c>
      <c r="AA19" t="s" s="442">
        <f>IF(AND(MONTH(AA6)=$G$19,YEAR(AA6)=$H$19),$D$19,"")</f>
      </c>
      <c r="AB19" t="s" s="442">
        <f>IF(AND(MONTH(AB6)=$G$19,YEAR(AB6)=$H$19),$D$19,"")</f>
      </c>
      <c r="AC19" t="s" s="442">
        <f>IF(AND(MONTH(AC6)=$G$19,YEAR(AC6)=$H$19),$D$19,"")</f>
      </c>
      <c r="AD19" t="s" s="442">
        <f>IF(AND(MONTH(AD6)=$G$19,YEAR(AD6)=$H$19),$D$19,"")</f>
      </c>
      <c r="AE19" t="s" s="442">
        <f>IF(AND(MONTH(AE6)=$G$19,YEAR(AE6)=$H$19),$D$19,"")</f>
      </c>
      <c r="AF19" t="s" s="442">
        <f>IF(AND(MONTH(AF6)=$G$19,YEAR(AF6)=$H$19),$D$19,"")</f>
      </c>
      <c r="AG19" t="s" s="442">
        <f>IF(AND(MONTH(AG6)=$G$19,YEAR(AG6)=$H$19),$D$19,"")</f>
      </c>
      <c r="AH19" t="s" s="442">
        <f>IF(AND(MONTH(AH6)=$G$19,YEAR(AH6)=$H$19),$D$19,"")</f>
      </c>
      <c r="AI19" t="s" s="442">
        <f>IF(AND(MONTH(AI6)=$G$19,YEAR(AI6)=$H$19),$D$19,"")</f>
      </c>
      <c r="AJ19" t="s" s="442">
        <f>IF(AND(MONTH(AJ6)=$G$19,YEAR(AJ6)=$H$19),$D$19,"")</f>
      </c>
      <c r="AK19" t="s" s="442">
        <f>IF(AND(MONTH(AK6)=$G$19,YEAR(AK6)=$H$19),$D$19,"")</f>
      </c>
      <c r="AL19" t="s" s="442">
        <f>IF(AND(MONTH(AL6)=$G$19,YEAR(AL6)=$H$19),$D$19,"")</f>
      </c>
      <c r="AM19" t="s" s="442">
        <f>IF(AND(MONTH(AM6)=$G$19,YEAR(AM6)=$H$19),$D$19,"")</f>
      </c>
      <c r="AN19" t="s" s="442">
        <f>IF(AND(MONTH(AN6)=$G$19,YEAR(AN6)=$H$19),$D$19,"")</f>
      </c>
      <c r="AO19" t="s" s="442">
        <f>IF(AND(MONTH(AO6)=$G$19,YEAR(AO6)=$H$19),$D$19,"")</f>
      </c>
      <c r="AP19" t="s" s="442">
        <f>IF(AND(MONTH(AP6)=$G$19,YEAR(AP6)=$H$19),$D$19,"")</f>
      </c>
      <c r="AQ19" t="s" s="442">
        <f>IF(AND(MONTH(AQ6)=$G$19,YEAR(AQ6)=$H$19),$D$19,"")</f>
      </c>
      <c r="AR19" t="s" s="442">
        <f>IF(AND(MONTH(AR6)=$G$19,YEAR(AR6)=$H$19),$D$19,"")</f>
      </c>
      <c r="AS19" s="432"/>
      <c r="AT19" s="443">
        <f>D19-SUM(I19:AR19)</f>
        <v>0</v>
      </c>
    </row>
    <row r="20" s="417" customFormat="1" ht="15" customHeight="1">
      <c r="A20" t="s" s="437">
        <v>714</v>
      </c>
      <c r="B20" s="438">
        <f>IF(D1="Traditional",'Dev Cost Breakdown'!C81*1%,0)</f>
        <v>0</v>
      </c>
      <c r="C20" s="438"/>
      <c r="D20" s="438">
        <f>SUM(B20:C20)</f>
        <v>0</v>
      </c>
      <c r="E20" t="s" s="384">
        <v>713</v>
      </c>
      <c r="F20" s="439"/>
      <c r="G20" s="440">
        <v>10</v>
      </c>
      <c r="H20" s="441">
        <v>2020</v>
      </c>
      <c r="I20" t="s" s="442">
        <f>IF(AND(MONTH(I6)=$G$20,YEAR(I6)=$H$20),$D$20,"")</f>
      </c>
      <c r="J20" t="s" s="442">
        <f>IF(AND(MONTH(J6)=$G$20,YEAR(J6)=$H$20),$D$20,"")</f>
      </c>
      <c r="K20" t="s" s="442">
        <f>IF(AND(MONTH(K6)=$G$20,YEAR(K6)=$H$20),$D$20,"")</f>
      </c>
      <c r="L20" t="s" s="442">
        <f>IF(AND(MONTH(L6)=$G$20,YEAR(L6)=$H$20),$D$20,"")</f>
      </c>
      <c r="M20" t="s" s="442">
        <f>IF(AND(MONTH(M6)=$G$20,YEAR(M6)=$H$20),$D$20,"")</f>
      </c>
      <c r="N20" t="s" s="442">
        <f>IF(AND(MONTH(N6)=$G$20,YEAR(N6)=$H$20),$D$20,"")</f>
      </c>
      <c r="O20" s="438">
        <f>IF(AND(MONTH(O6)=$G$20,YEAR(O6)=$H$20),$D$20,"")</f>
        <v>0</v>
      </c>
      <c r="P20" t="s" s="442">
        <f>IF(AND(MONTH(P6)=$G$20,YEAR(P6)=$H$20),$D$20,"")</f>
      </c>
      <c r="Q20" t="s" s="442">
        <f>IF(AND(MONTH(Q6)=$G$20,YEAR(Q6)=$H$20),$D$20,"")</f>
      </c>
      <c r="R20" t="s" s="442">
        <f>IF(AND(MONTH(R6)=$G$20,YEAR(R6)=$H$20),$D$20,"")</f>
      </c>
      <c r="S20" t="s" s="442">
        <f>IF(AND(MONTH(S6)=$G$20,YEAR(S6)=$H$20),$D$20,"")</f>
      </c>
      <c r="T20" t="s" s="442">
        <f>IF(AND(MONTH(T6)=$G$20,YEAR(T6)=$H$20),$D$20,"")</f>
      </c>
      <c r="U20" t="s" s="442">
        <f>IF(AND(MONTH(U6)=$G$20,YEAR(U6)=$H$20),$D$20,"")</f>
      </c>
      <c r="V20" t="s" s="442">
        <f>IF(AND(MONTH(V6)=$G$20,YEAR(V6)=$H$20),$D$20,"")</f>
      </c>
      <c r="W20" t="s" s="442">
        <f>IF(AND(MONTH(W6)=$G$20,YEAR(W6)=$H$20),$D$20,"")</f>
      </c>
      <c r="X20" t="s" s="442">
        <f>IF(AND(MONTH(X6)=$G$20,YEAR(X6)=$H$20),$D$20,"")</f>
      </c>
      <c r="Y20" t="s" s="442">
        <f>IF(AND(MONTH(Y6)=$G$20,YEAR(Y6)=$H$20),$D$20,"")</f>
      </c>
      <c r="Z20" t="s" s="442">
        <f>IF(AND(MONTH(Z6)=$G$20,YEAR(Z6)=$H$20),$D$20,"")</f>
      </c>
      <c r="AA20" t="s" s="442">
        <f>IF(AND(MONTH(AA6)=$G$20,YEAR(AA6)=$H$20),$D$20,"")</f>
      </c>
      <c r="AB20" t="s" s="442">
        <f>IF(AND(MONTH(AB6)=$G$20,YEAR(AB6)=$H$20),$D$20,"")</f>
      </c>
      <c r="AC20" t="s" s="442">
        <f>IF(AND(MONTH(AC6)=$G$20,YEAR(AC6)=$H$20),$D$20,"")</f>
      </c>
      <c r="AD20" t="s" s="442">
        <f>IF(AND(MONTH(AD6)=$G$20,YEAR(AD6)=$H$20),$D$20,"")</f>
      </c>
      <c r="AE20" t="s" s="442">
        <f>IF(AND(MONTH(AE6)=$G$20,YEAR(AE6)=$H$20),$D$20,"")</f>
      </c>
      <c r="AF20" t="s" s="442">
        <f>IF(AND(MONTH(AF6)=$G$20,YEAR(AF6)=$H$20),$D$20,"")</f>
      </c>
      <c r="AG20" t="s" s="442">
        <f>IF(AND(MONTH(AG6)=$G$20,YEAR(AG6)=$H$20),$D$20,"")</f>
      </c>
      <c r="AH20" t="s" s="442">
        <f>IF(AND(MONTH(AH6)=$G$20,YEAR(AH6)=$H$20),$D$20,"")</f>
      </c>
      <c r="AI20" t="s" s="442">
        <f>IF(AND(MONTH(AI6)=$G$20,YEAR(AI6)=$H$20),$D$20,"")</f>
      </c>
      <c r="AJ20" t="s" s="442">
        <f>IF(AND(MONTH(AJ6)=$G$20,YEAR(AJ6)=$H$20),$D$20,"")</f>
      </c>
      <c r="AK20" t="s" s="442">
        <f>IF(AND(MONTH(AK6)=$G$20,YEAR(AK6)=$H$20),$D$20,"")</f>
      </c>
      <c r="AL20" t="s" s="442">
        <f>IF(AND(MONTH(AL6)=$G$20,YEAR(AL6)=$H$20),$D$20,"")</f>
      </c>
      <c r="AM20" t="s" s="442">
        <f>IF(AND(MONTH(AM6)=$G$20,YEAR(AM6)=$H$20),$D$20,"")</f>
      </c>
      <c r="AN20" t="s" s="442">
        <f>IF(AND(MONTH(AN6)=$G$20,YEAR(AN6)=$H$20),$D$20,"")</f>
      </c>
      <c r="AO20" t="s" s="442">
        <f>IF(AND(MONTH(AO6)=$G$20,YEAR(AO6)=$H$20),$D$20,"")</f>
      </c>
      <c r="AP20" t="s" s="442">
        <f>IF(AND(MONTH(AP6)=$G$20,YEAR(AP6)=$H$20),$D$20,"")</f>
      </c>
      <c r="AQ20" t="s" s="442">
        <f>IF(AND(MONTH(AQ6)=$G$20,YEAR(AQ6)=$H$20),$D$20,"")</f>
      </c>
      <c r="AR20" t="s" s="442">
        <f>IF(AND(MONTH(AR6)=$G$20,YEAR(AR6)=$H$20),$D$20,"")</f>
      </c>
      <c r="AS20" s="432"/>
      <c r="AT20" s="443">
        <f>D20-SUM(I20:AR20)</f>
        <v>0</v>
      </c>
    </row>
    <row r="21" s="417" customFormat="1" ht="15" customHeight="1">
      <c r="A21" s="431"/>
      <c r="B21" s="447"/>
      <c r="C21" s="447"/>
      <c r="D21" s="447"/>
      <c r="E21" s="444"/>
      <c r="F21" s="439"/>
      <c r="G21" s="445"/>
      <c r="H21" s="446"/>
      <c r="I21" s="447"/>
      <c r="J21" s="447"/>
      <c r="K21" s="447"/>
      <c r="L21" s="447"/>
      <c r="M21" s="447"/>
      <c r="N21" s="447"/>
      <c r="O21" s="447"/>
      <c r="P21" s="447"/>
      <c r="Q21" s="447"/>
      <c r="R21" s="447"/>
      <c r="S21" s="447"/>
      <c r="T21" s="447"/>
      <c r="U21" s="447"/>
      <c r="V21" s="447"/>
      <c r="W21" s="447"/>
      <c r="X21" s="447"/>
      <c r="Y21" s="447"/>
      <c r="Z21" s="447"/>
      <c r="AA21" s="447"/>
      <c r="AB21" s="447"/>
      <c r="AC21" s="447"/>
      <c r="AD21" s="447"/>
      <c r="AE21" s="447"/>
      <c r="AF21" s="447"/>
      <c r="AG21" s="447"/>
      <c r="AH21" s="447"/>
      <c r="AI21" s="447"/>
      <c r="AJ21" s="447"/>
      <c r="AK21" s="447"/>
      <c r="AL21" s="447"/>
      <c r="AM21" s="447"/>
      <c r="AN21" s="447"/>
      <c r="AO21" s="447"/>
      <c r="AP21" s="447"/>
      <c r="AQ21" s="447"/>
      <c r="AR21" s="447"/>
      <c r="AS21" s="432"/>
      <c r="AT21" s="443"/>
    </row>
    <row r="22" s="417" customFormat="1" ht="15" customHeight="1">
      <c r="A22" t="s" s="436">
        <v>715</v>
      </c>
      <c r="B22" s="449"/>
      <c r="C22" s="449"/>
      <c r="D22" s="449"/>
      <c r="E22" s="444"/>
      <c r="F22" s="439"/>
      <c r="G22" s="445"/>
      <c r="H22" s="446"/>
      <c r="I22" s="449"/>
      <c r="J22" s="449"/>
      <c r="K22" s="449"/>
      <c r="L22" s="449"/>
      <c r="M22" s="449"/>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49"/>
      <c r="AL22" s="449"/>
      <c r="AM22" s="449"/>
      <c r="AN22" s="449"/>
      <c r="AO22" s="449"/>
      <c r="AP22" s="449"/>
      <c r="AQ22" s="449"/>
      <c r="AR22" s="449"/>
      <c r="AS22" s="432"/>
      <c r="AT22" s="443"/>
    </row>
    <row r="23" s="417" customFormat="1" ht="15" customHeight="1">
      <c r="A23" t="s" s="437">
        <v>716</v>
      </c>
      <c r="B23" s="438">
        <f>('Dev Cash Flow'!F22+'Dev Cash Flow'!F23)*2%</f>
        <v>20460</v>
      </c>
      <c r="C23" s="438"/>
      <c r="D23" s="438">
        <f>SUM(B23:C23)</f>
        <v>20460</v>
      </c>
      <c r="E23" t="s" s="384">
        <v>705</v>
      </c>
      <c r="F23" s="439"/>
      <c r="G23" s="440">
        <v>11</v>
      </c>
      <c r="H23" s="441">
        <v>2020</v>
      </c>
      <c r="I23" t="s" s="442">
        <f>IF(AND(MONTH(I6)=$G$23,YEAR(I6)=$H$23),$D$23,"")</f>
      </c>
      <c r="J23" t="s" s="442">
        <f>IF(AND(MONTH(J6)=$G$23,YEAR(J6)=$H$23),$D$23,"")</f>
      </c>
      <c r="K23" t="s" s="442">
        <f>IF(AND(MONTH(K6)=$G$23,YEAR(K6)=$H$23),$D$23,"")</f>
      </c>
      <c r="L23" t="s" s="442">
        <f>IF(AND(MONTH(L6)=$G$23,YEAR(L6)=$H$23),$D$23,"")</f>
      </c>
      <c r="M23" t="s" s="442">
        <f>IF(AND(MONTH(M6)=$G$23,YEAR(M6)=$H$23),$D$23,"")</f>
      </c>
      <c r="N23" t="s" s="442">
        <f>IF(AND(MONTH(N6)=$G$23,YEAR(N6)=$H$23),$D$23,"")</f>
      </c>
      <c r="O23" t="s" s="442">
        <f>IF(AND(MONTH(O6)=$G$23,YEAR(O6)=$H$23),$D$23,"")</f>
      </c>
      <c r="P23" s="438">
        <f>IF(AND(MONTH(P6)=$G$23,YEAR(P6)=$H$23),$D$23,"")</f>
        <v>20460</v>
      </c>
      <c r="Q23" t="s" s="442">
        <f>IF(AND(MONTH(Q6)=$G$23,YEAR(Q6)=$H$23),$D$23,"")</f>
      </c>
      <c r="R23" t="s" s="442">
        <f>IF(AND(MONTH(R6)=$G$23,YEAR(R6)=$H$23),$D$23,"")</f>
      </c>
      <c r="S23" t="s" s="442">
        <f>IF(AND(MONTH(S6)=$G$23,YEAR(S6)=$H$23),$D$23,"")</f>
      </c>
      <c r="T23" t="s" s="442">
        <f>IF(AND(MONTH(T6)=$G$23,YEAR(T6)=$H$23),$D$23,"")</f>
      </c>
      <c r="U23" t="s" s="442">
        <f>IF(AND(MONTH(U6)=$G$23,YEAR(U6)=$H$23),$D$23,"")</f>
      </c>
      <c r="V23" t="s" s="442">
        <f>IF(AND(MONTH(V6)=$G$23,YEAR(V6)=$H$23),$D$23,"")</f>
      </c>
      <c r="W23" t="s" s="442">
        <f>IF(AND(MONTH(W6)=$G$23,YEAR(W6)=$H$23),$D$23,"")</f>
      </c>
      <c r="X23" t="s" s="442">
        <f>IF(AND(MONTH(X6)=$G$23,YEAR(X6)=$H$23),$D$23,"")</f>
      </c>
      <c r="Y23" t="s" s="442">
        <f>IF(AND(MONTH(Y6)=$G$23,YEAR(Y6)=$H$23),$D$23,"")</f>
      </c>
      <c r="Z23" t="s" s="442">
        <f>IF(AND(MONTH(Z6)=$G$23,YEAR(Z6)=$H$23),$D$23,"")</f>
      </c>
      <c r="AA23" t="s" s="442">
        <f>IF(AND(MONTH(AA6)=$G$23,YEAR(AA6)=$H$23),$D$23,"")</f>
      </c>
      <c r="AB23" t="s" s="442">
        <f>IF(AND(MONTH(AB6)=$G$23,YEAR(AB6)=$H$23),$D$23,"")</f>
      </c>
      <c r="AC23" t="s" s="442">
        <f>IF(AND(MONTH(AC6)=$G$23,YEAR(AC6)=$H$23),$D$23,"")</f>
      </c>
      <c r="AD23" t="s" s="442">
        <f>IF(AND(MONTH(AD6)=$G$23,YEAR(AD6)=$H$23),$D$23,"")</f>
      </c>
      <c r="AE23" t="s" s="442">
        <f>IF(AND(MONTH(AE6)=$G$23,YEAR(AE6)=$H$23),$D$23,"")</f>
      </c>
      <c r="AF23" t="s" s="442">
        <f>IF(AND(MONTH(AF6)=$G$23,YEAR(AF6)=$H$23),$D$23,"")</f>
      </c>
      <c r="AG23" t="s" s="442">
        <f>IF(AND(MONTH(AG6)=$G$23,YEAR(AG6)=$H$23),$D$23,"")</f>
      </c>
      <c r="AH23" t="s" s="442">
        <f>IF(AND(MONTH(AH6)=$G$23,YEAR(AH6)=$H$23),$D$23,"")</f>
      </c>
      <c r="AI23" t="s" s="442">
        <f>IF(AND(MONTH(AI6)=$G$23,YEAR(AI6)=$H$23),$D$23,"")</f>
      </c>
      <c r="AJ23" t="s" s="442">
        <f>IF(AND(MONTH(AJ6)=$G$23,YEAR(AJ6)=$H$23),$D$23,"")</f>
      </c>
      <c r="AK23" t="s" s="442">
        <f>IF(AND(MONTH(AK6)=$G$23,YEAR(AK6)=$H$23),$D$23,"")</f>
      </c>
      <c r="AL23" t="s" s="442">
        <f>IF(AND(MONTH(AL6)=$G$23,YEAR(AL6)=$H$23),$D$23,"")</f>
      </c>
      <c r="AM23" t="s" s="442">
        <f>IF(AND(MONTH(AM6)=$G$23,YEAR(AM6)=$H$23),$D$23,"")</f>
      </c>
      <c r="AN23" t="s" s="442">
        <f>IF(AND(MONTH(AN6)=$G$23,YEAR(AN6)=$H$23),$D$23,"")</f>
      </c>
      <c r="AO23" t="s" s="442">
        <f>IF(AND(MONTH(AO6)=$G$23,YEAR(AO6)=$H$23),$D$23,"")</f>
      </c>
      <c r="AP23" t="s" s="442">
        <f>IF(AND(MONTH(AP6)=$G$23,YEAR(AP6)=$H$23),$D$23,"")</f>
      </c>
      <c r="AQ23" t="s" s="442">
        <f>IF(AND(MONTH(AQ6)=$G$23,YEAR(AQ6)=$H$23),$D$23,"")</f>
      </c>
      <c r="AR23" t="s" s="442">
        <f>IF(AND(MONTH(AR6)=$G$23,YEAR(AR6)=$H$23),$D$23,"")</f>
      </c>
      <c r="AS23" s="432"/>
      <c r="AT23" s="443">
        <f>D23-SUM(I23:AR23)</f>
        <v>0</v>
      </c>
    </row>
    <row r="24" s="417" customFormat="1" ht="15" customHeight="1">
      <c r="A24" t="s" s="437">
        <v>717</v>
      </c>
      <c r="B24" s="438">
        <f>('Dev Cash Flow'!F22+'Dev Cash Flow'!F23)*1.5%</f>
        <v>15345</v>
      </c>
      <c r="C24" s="438"/>
      <c r="D24" s="438">
        <f>SUM(B24:C24)</f>
        <v>15345</v>
      </c>
      <c r="E24" t="s" s="450">
        <v>703</v>
      </c>
      <c r="F24" s="439"/>
      <c r="G24" s="440">
        <v>9</v>
      </c>
      <c r="H24" s="441">
        <v>2020</v>
      </c>
      <c r="I24" t="s" s="442">
        <f>IF(AND(MONTH(I6)=$G$24,YEAR(I6)=$H$24),$D$24,"")</f>
      </c>
      <c r="J24" t="s" s="442">
        <f>IF(AND(MONTH(J6)=$G$24,YEAR(J6)=$H$24),$D$24,"")</f>
      </c>
      <c r="K24" t="s" s="442">
        <f>IF(AND(MONTH(K6)=$G$24,YEAR(K6)=$H$24),$D$24,"")</f>
      </c>
      <c r="L24" t="s" s="442">
        <f>IF(AND(MONTH(L6)=$G$24,YEAR(L6)=$H$24),$D$24,"")</f>
      </c>
      <c r="M24" t="s" s="442">
        <f>IF(AND(MONTH(M6)=$G$24,YEAR(M6)=$H$24),$D$24,"")</f>
      </c>
      <c r="N24" s="438">
        <f>IF(AND(MONTH(N6)=$G$24,YEAR(N6)=$H$24),$D$24,"")</f>
        <v>15345</v>
      </c>
      <c r="O24" t="s" s="442">
        <f>IF(AND(MONTH(O6)=$G$24,YEAR(O6)=$H$24),$D$24,"")</f>
      </c>
      <c r="P24" t="s" s="442">
        <f>IF(AND(MONTH(P6)=$G$24,YEAR(P6)=$H$24),$D$24,"")</f>
      </c>
      <c r="Q24" t="s" s="442">
        <f>IF(AND(MONTH(Q6)=$G$24,YEAR(Q6)=$H$24),$D$24,"")</f>
      </c>
      <c r="R24" t="s" s="442">
        <f>IF(AND(MONTH(R6)=$G$24,YEAR(R6)=$H$24),$D$24,"")</f>
      </c>
      <c r="S24" t="s" s="442">
        <f>IF(AND(MONTH(S6)=$G$24,YEAR(S6)=$H$24),$D$24,"")</f>
      </c>
      <c r="T24" t="s" s="442">
        <f>IF(AND(MONTH(T6)=$G$24,YEAR(T6)=$H$24),$D$24,"")</f>
      </c>
      <c r="U24" t="s" s="442">
        <f>IF(AND(MONTH(U6)=$G$24,YEAR(U6)=$H$24),$D$24,"")</f>
      </c>
      <c r="V24" t="s" s="442">
        <f>IF(AND(MONTH(V6)=$G$24,YEAR(V6)=$H$24),$D$24,"")</f>
      </c>
      <c r="W24" t="s" s="442">
        <f>IF(AND(MONTH(W6)=$G$24,YEAR(W6)=$H$24),$D$24,"")</f>
      </c>
      <c r="X24" t="s" s="442">
        <f>IF(AND(MONTH(X6)=$G$24,YEAR(X6)=$H$24),$D$24,"")</f>
      </c>
      <c r="Y24" t="s" s="442">
        <f>IF(AND(MONTH(Y6)=$G$24,YEAR(Y6)=$H$24),$D$24,"")</f>
      </c>
      <c r="Z24" t="s" s="442">
        <f>IF(AND(MONTH(Z6)=$G$24,YEAR(Z6)=$H$24),$D$24,"")</f>
      </c>
      <c r="AA24" t="s" s="442">
        <f>IF(AND(MONTH(AA6)=$G$24,YEAR(AA6)=$H$24),$D$24,"")</f>
      </c>
      <c r="AB24" t="s" s="442">
        <f>IF(AND(MONTH(AB6)=$G$24,YEAR(AB6)=$H$24),$D$24,"")</f>
      </c>
      <c r="AC24" t="s" s="442">
        <f>IF(AND(MONTH(AC6)=$G$24,YEAR(AC6)=$H$24),$D$24,"")</f>
      </c>
      <c r="AD24" t="s" s="442">
        <f>IF(AND(MONTH(AD6)=$G$24,YEAR(AD6)=$H$24),$D$24,"")</f>
      </c>
      <c r="AE24" t="s" s="442">
        <f>IF(AND(MONTH(AE6)=$G$24,YEAR(AE6)=$H$24),$D$24,"")</f>
      </c>
      <c r="AF24" t="s" s="442">
        <f>IF(AND(MONTH(AF6)=$G$24,YEAR(AF6)=$H$24),$D$24,"")</f>
      </c>
      <c r="AG24" t="s" s="442">
        <f>IF(AND(MONTH(AG6)=$G$24,YEAR(AG6)=$H$24),$D$24,"")</f>
      </c>
      <c r="AH24" t="s" s="442">
        <f>IF(AND(MONTH(AH6)=$G$24,YEAR(AH6)=$H$24),$D$24,"")</f>
      </c>
      <c r="AI24" t="s" s="442">
        <f>IF(AND(MONTH(AI6)=$G$24,YEAR(AI6)=$H$24),$D$24,"")</f>
      </c>
      <c r="AJ24" t="s" s="442">
        <f>IF(AND(MONTH(AJ6)=$G$24,YEAR(AJ6)=$H$24),$D$24,"")</f>
      </c>
      <c r="AK24" t="s" s="442">
        <f>IF(AND(MONTH(AK6)=$G$24,YEAR(AK6)=$H$24),$D$24,"")</f>
      </c>
      <c r="AL24" t="s" s="442">
        <f>IF(AND(MONTH(AL6)=$G$24,YEAR(AL6)=$H$24),$D$24,"")</f>
      </c>
      <c r="AM24" t="s" s="442">
        <f>IF(AND(MONTH(AM6)=$G$24,YEAR(AM6)=$H$24),$D$24,"")</f>
      </c>
      <c r="AN24" t="s" s="442">
        <f>IF(AND(MONTH(AN6)=$G$24,YEAR(AN6)=$H$24),$D$24,"")</f>
      </c>
      <c r="AO24" t="s" s="442">
        <f>IF(AND(MONTH(AO6)=$G$24,YEAR(AO6)=$H$24),$D$24,"")</f>
      </c>
      <c r="AP24" t="s" s="442">
        <f>IF(AND(MONTH(AP6)=$G$24,YEAR(AP6)=$H$24),$D$24,"")</f>
      </c>
      <c r="AQ24" t="s" s="442">
        <f>IF(AND(MONTH(AQ6)=$G$24,YEAR(AQ6)=$H$24),$D$24,"")</f>
      </c>
      <c r="AR24" t="s" s="442">
        <f>IF(AND(MONTH(AR6)=$G$24,YEAR(AR6)=$H$24),$D$24,"")</f>
      </c>
      <c r="AS24" s="432"/>
      <c r="AT24" s="443">
        <f>D24-SUM(I24:AR24)</f>
        <v>0</v>
      </c>
    </row>
    <row r="25" s="417" customFormat="1" ht="15" customHeight="1">
      <c r="A25" t="s" s="437">
        <v>718</v>
      </c>
      <c r="B25" s="451">
        <v>500</v>
      </c>
      <c r="C25" s="451"/>
      <c r="D25" s="447">
        <f>SUM(B25:C25)</f>
        <v>500</v>
      </c>
      <c r="E25" s="452"/>
      <c r="F25" s="439"/>
      <c r="G25" s="440">
        <v>11</v>
      </c>
      <c r="H25" s="441">
        <v>2020</v>
      </c>
      <c r="I25" t="s" s="442">
        <f>IF(AND(MONTH(I6)=$G$25,YEAR(I6)=$H$25),$D$25,"")</f>
      </c>
      <c r="J25" t="s" s="442">
        <f>IF(AND(MONTH(J6)=$G$25,YEAR(J6)=$H$25),$D$25,"")</f>
      </c>
      <c r="K25" t="s" s="442">
        <f>IF(AND(MONTH(K6)=$G$25,YEAR(K6)=$H$25),$D$25,"")</f>
      </c>
      <c r="L25" t="s" s="442">
        <f>IF(AND(MONTH(L6)=$G$25,YEAR(L6)=$H$25),$D$25,"")</f>
      </c>
      <c r="M25" t="s" s="442">
        <f>IF(AND(MONTH(M6)=$G$25,YEAR(M6)=$H$25),$D$25,"")</f>
      </c>
      <c r="N25" t="s" s="442">
        <f>IF(AND(MONTH(N6)=$G$25,YEAR(N6)=$H$25),$D$25,"")</f>
      </c>
      <c r="O25" t="s" s="442">
        <f>IF(AND(MONTH(O6)=$G$25,YEAR(O6)=$H$25),$D$25,"")</f>
      </c>
      <c r="P25" s="438">
        <f>IF(AND(MONTH(P6)=$G$25,YEAR(P6)=$H$25),$D$25,"")</f>
        <v>500</v>
      </c>
      <c r="Q25" t="s" s="442">
        <f>IF(AND(MONTH(Q6)=$G$25,YEAR(Q6)=$H$25),$D$25,"")</f>
      </c>
      <c r="R25" t="s" s="442">
        <f>IF(AND(MONTH(R6)=$G$25,YEAR(R6)=$H$25),$D$25,"")</f>
      </c>
      <c r="S25" t="s" s="442">
        <f>IF(AND(MONTH(S6)=$G$25,YEAR(S6)=$H$25),$D$25,"")</f>
      </c>
      <c r="T25" t="s" s="442">
        <f>IF(AND(MONTH(T6)=$G$25,YEAR(T6)=$H$25),$D$25,"")</f>
      </c>
      <c r="U25" t="s" s="442">
        <f>IF(AND(MONTH(U6)=$G$25,YEAR(U6)=$H$25),$D$25,"")</f>
      </c>
      <c r="V25" t="s" s="442">
        <f>IF(AND(MONTH(V6)=$G$25,YEAR(V6)=$H$25),$D$25,"")</f>
      </c>
      <c r="W25" t="s" s="442">
        <f>IF(AND(MONTH(W6)=$G$25,YEAR(W6)=$H$25),$D$25,"")</f>
      </c>
      <c r="X25" t="s" s="442">
        <f>IF(AND(MONTH(X6)=$G$25,YEAR(X6)=$H$25),$D$25,"")</f>
      </c>
      <c r="Y25" t="s" s="442">
        <f>IF(AND(MONTH(Y6)=$G$25,YEAR(Y6)=$H$25),$D$25,"")</f>
      </c>
      <c r="Z25" t="s" s="442">
        <f>IF(AND(MONTH(Z6)=$G$25,YEAR(Z6)=$H$25),$D$25,"")</f>
      </c>
      <c r="AA25" t="s" s="442">
        <f>IF(AND(MONTH(AA6)=$G$25,YEAR(AA6)=$H$25),$D$25,"")</f>
      </c>
      <c r="AB25" t="s" s="442">
        <f>IF(AND(MONTH(AB6)=$G$25,YEAR(AB6)=$H$25),$D$25,"")</f>
      </c>
      <c r="AC25" t="s" s="442">
        <f>IF(AND(MONTH(AC6)=$G$25,YEAR(AC6)=$H$25),$D$25,"")</f>
      </c>
      <c r="AD25" t="s" s="442">
        <f>IF(AND(MONTH(AD6)=$G$25,YEAR(AD6)=$H$25),$D$25,"")</f>
      </c>
      <c r="AE25" t="s" s="442">
        <f>IF(AND(MONTH(AE6)=$G$25,YEAR(AE6)=$H$25),$D$25,"")</f>
      </c>
      <c r="AF25" t="s" s="442">
        <f>IF(AND(MONTH(AF6)=$G$25,YEAR(AF6)=$H$25),$D$25,"")</f>
      </c>
      <c r="AG25" t="s" s="442">
        <f>IF(AND(MONTH(AG6)=$G$25,YEAR(AG6)=$H$25),$D$25,"")</f>
      </c>
      <c r="AH25" t="s" s="442">
        <f>IF(AND(MONTH(AH6)=$G$25,YEAR(AH6)=$H$25),$D$25,"")</f>
      </c>
      <c r="AI25" t="s" s="442">
        <f>IF(AND(MONTH(AI6)=$G$25,YEAR(AI6)=$H$25),$D$25,"")</f>
      </c>
      <c r="AJ25" t="s" s="442">
        <f>IF(AND(MONTH(AJ6)=$G$25,YEAR(AJ6)=$H$25),$D$25,"")</f>
      </c>
      <c r="AK25" t="s" s="442">
        <f>IF(AND(MONTH(AK6)=$G$25,YEAR(AK6)=$H$25),$D$25,"")</f>
      </c>
      <c r="AL25" t="s" s="442">
        <f>IF(AND(MONTH(AL6)=$G$25,YEAR(AL6)=$H$25),$D$25,"")</f>
      </c>
      <c r="AM25" t="s" s="442">
        <f>IF(AND(MONTH(AM6)=$G$25,YEAR(AM6)=$H$25),$D$25,"")</f>
      </c>
      <c r="AN25" t="s" s="442">
        <f>IF(AND(MONTH(AN6)=$G$25,YEAR(AN6)=$H$25),$D$25,"")</f>
      </c>
      <c r="AO25" t="s" s="442">
        <f>IF(AND(MONTH(AO6)=$G$25,YEAR(AO6)=$H$25),$D$25,"")</f>
      </c>
      <c r="AP25" t="s" s="442">
        <f>IF(AND(MONTH(AP6)=$G$25,YEAR(AP6)=$H$25),$D$25,"")</f>
      </c>
      <c r="AQ25" t="s" s="442">
        <f>IF(AND(MONTH(AQ6)=$G$25,YEAR(AQ6)=$H$25),$D$25,"")</f>
      </c>
      <c r="AR25" t="s" s="442">
        <f>IF(AND(MONTH(AR6)=$G$25,YEAR(AR6)=$H$25),$D$25,"")</f>
      </c>
      <c r="AS25" s="432"/>
      <c r="AT25" s="443">
        <f>D25-SUM(I25:AR25)</f>
        <v>0</v>
      </c>
    </row>
    <row r="26" s="417" customFormat="1" ht="15" customHeight="1">
      <c r="A26" t="s" s="437">
        <v>719</v>
      </c>
      <c r="B26" s="451">
        <v>250</v>
      </c>
      <c r="C26" s="451"/>
      <c r="D26" s="453">
        <f>SUM(B26:C26)</f>
        <v>250</v>
      </c>
      <c r="E26" s="452"/>
      <c r="F26" s="439"/>
      <c r="G26" s="440">
        <v>12</v>
      </c>
      <c r="H26" s="441">
        <v>2020</v>
      </c>
      <c r="I26" t="s" s="442">
        <f>IF(AND(MONTH(I6)=$G$26,YEAR(I6)=$H$26),$D$26,"")</f>
      </c>
      <c r="J26" t="s" s="442">
        <f>IF(AND(MONTH(J6)=$G$26,YEAR(J6)=$H$26),$D$26,"")</f>
      </c>
      <c r="K26" t="s" s="442">
        <f>IF(AND(MONTH(K6)=$G$26,YEAR(K6)=$H$26),$D$26,"")</f>
      </c>
      <c r="L26" t="s" s="442">
        <f>IF(AND(MONTH(L6)=$G$26,YEAR(L6)=$H$26),$D$26,"")</f>
      </c>
      <c r="M26" t="s" s="442">
        <f>IF(AND(MONTH(M6)=$G$26,YEAR(M6)=$H$26),$D$26,"")</f>
      </c>
      <c r="N26" t="s" s="442">
        <f>IF(AND(MONTH(N6)=$G$26,YEAR(N6)=$H$26),$D$26,"")</f>
      </c>
      <c r="O26" t="s" s="442">
        <f>IF(AND(MONTH(O6)=$G$26,YEAR(O6)=$H$26),$D$26,"")</f>
      </c>
      <c r="P26" t="s" s="442">
        <f>IF(AND(MONTH(P6)=$G$26,YEAR(P6)=$H$26),$D$26,"")</f>
      </c>
      <c r="Q26" s="438">
        <f>IF(AND(MONTH(Q6)=$G$26,YEAR(Q6)=$H$26),$D$26,"")</f>
        <v>250</v>
      </c>
      <c r="R26" t="s" s="442">
        <f>IF(AND(MONTH(R6)=$G$26,YEAR(R6)=$H$26),$D$26,"")</f>
      </c>
      <c r="S26" t="s" s="442">
        <f>IF(AND(MONTH(S6)=$G$26,YEAR(S6)=$H$26),$D$26,"")</f>
      </c>
      <c r="T26" t="s" s="442">
        <f>IF(AND(MONTH(T6)=$G$26,YEAR(T6)=$H$26),$D$26,"")</f>
      </c>
      <c r="U26" t="s" s="442">
        <f>IF(AND(MONTH(U6)=$G$26,YEAR(U6)=$H$26),$D$26,"")</f>
      </c>
      <c r="V26" t="s" s="442">
        <f>IF(AND(MONTH(V6)=$G$26,YEAR(V6)=$H$26),$D$26,"")</f>
      </c>
      <c r="W26" t="s" s="442">
        <f>IF(AND(MONTH(W6)=$G$26,YEAR(W6)=$H$26),$D$26,"")</f>
      </c>
      <c r="X26" t="s" s="442">
        <f>IF(AND(MONTH(X6)=$G$26,YEAR(X6)=$H$26),$D$26,"")</f>
      </c>
      <c r="Y26" t="s" s="442">
        <f>IF(AND(MONTH(Y6)=$G$26,YEAR(Y6)=$H$26),$D$26,"")</f>
      </c>
      <c r="Z26" t="s" s="442">
        <f>IF(AND(MONTH(Z6)=$G$26,YEAR(Z6)=$H$26),$D$26,"")</f>
      </c>
      <c r="AA26" t="s" s="442">
        <f>IF(AND(MONTH(AA6)=$G$26,YEAR(AA6)=$H$26),$D$26,"")</f>
      </c>
      <c r="AB26" t="s" s="442">
        <f>IF(AND(MONTH(AB6)=$G$26,YEAR(AB6)=$H$26),$D$26,"")</f>
      </c>
      <c r="AC26" t="s" s="442">
        <f>IF(AND(MONTH(AC6)=$G$26,YEAR(AC6)=$H$26),$D$26,"")</f>
      </c>
      <c r="AD26" t="s" s="442">
        <f>IF(AND(MONTH(AD6)=$G$26,YEAR(AD6)=$H$26),$D$26,"")</f>
      </c>
      <c r="AE26" t="s" s="442">
        <f>IF(AND(MONTH(AE6)=$G$26,YEAR(AE6)=$H$26),$D$26,"")</f>
      </c>
      <c r="AF26" t="s" s="442">
        <f>IF(AND(MONTH(AF6)=$G$26,YEAR(AF6)=$H$26),$D$26,"")</f>
      </c>
      <c r="AG26" t="s" s="442">
        <f>IF(AND(MONTH(AG6)=$G$26,YEAR(AG6)=$H$26),$D$26,"")</f>
      </c>
      <c r="AH26" t="s" s="442">
        <f>IF(AND(MONTH(AH6)=$G$26,YEAR(AH6)=$H$26),$D$26,"")</f>
      </c>
      <c r="AI26" t="s" s="442">
        <f>IF(AND(MONTH(AI6)=$G$26,YEAR(AI6)=$H$26),$D$26,"")</f>
      </c>
      <c r="AJ26" t="s" s="442">
        <f>IF(AND(MONTH(AJ6)=$G$26,YEAR(AJ6)=$H$26),$D$26,"")</f>
      </c>
      <c r="AK26" t="s" s="442">
        <f>IF(AND(MONTH(AK6)=$G$26,YEAR(AK6)=$H$26),$D$26,"")</f>
      </c>
      <c r="AL26" t="s" s="442">
        <f>IF(AND(MONTH(AL6)=$G$26,YEAR(AL6)=$H$26),$D$26,"")</f>
      </c>
      <c r="AM26" t="s" s="442">
        <f>IF(AND(MONTH(AM6)=$G$26,YEAR(AM6)=$H$26),$D$26,"")</f>
      </c>
      <c r="AN26" t="s" s="442">
        <f>IF(AND(MONTH(AN6)=$G$26,YEAR(AN6)=$H$26),$D$26,"")</f>
      </c>
      <c r="AO26" t="s" s="442">
        <f>IF(AND(MONTH(AO6)=$G$26,YEAR(AO6)=$H$26),$D$26,"")</f>
      </c>
      <c r="AP26" t="s" s="442">
        <f>IF(AND(MONTH(AP6)=$G$26,YEAR(AP6)=$H$26),$D$26,"")</f>
      </c>
      <c r="AQ26" t="s" s="442">
        <f>IF(AND(MONTH(AQ6)=$G$26,YEAR(AQ6)=$H$26),$D$26,"")</f>
      </c>
      <c r="AR26" t="s" s="442">
        <f>IF(AND(MONTH(AR6)=$G$26,YEAR(AR6)=$H$26),$D$26,"")</f>
      </c>
      <c r="AS26" s="432"/>
      <c r="AT26" s="443">
        <f>D26-SUM(I26:AR26)</f>
        <v>0</v>
      </c>
    </row>
    <row r="27" s="417" customFormat="1" ht="15" customHeight="1">
      <c r="A27" t="s" s="437">
        <v>720</v>
      </c>
      <c r="B27" s="451">
        <v>500</v>
      </c>
      <c r="C27" s="451"/>
      <c r="D27" s="453">
        <f>SUM(B27:C27)</f>
        <v>500</v>
      </c>
      <c r="E27" s="452"/>
      <c r="F27" s="439"/>
      <c r="G27" s="440">
        <v>1</v>
      </c>
      <c r="H27" s="441">
        <v>2021</v>
      </c>
      <c r="I27" t="s" s="442">
        <f>IF(AND(MONTH(I6)=$G$27,YEAR(I6)=$H$27),$D$27,"")</f>
      </c>
      <c r="J27" t="s" s="442">
        <f>IF(AND(MONTH(J6)=$G$27,YEAR(J6)=$H$27),$D$27,"")</f>
      </c>
      <c r="K27" t="s" s="442">
        <f>IF(AND(MONTH(K6)=$G$27,YEAR(K6)=$H$27),$D$27,"")</f>
      </c>
      <c r="L27" t="s" s="442">
        <f>IF(AND(MONTH(L6)=$G$27,YEAR(L6)=$H$27),$D$27,"")</f>
      </c>
      <c r="M27" t="s" s="442">
        <f>IF(AND(MONTH(M6)=$G$27,YEAR(M6)=$H$27),$D$27,"")</f>
      </c>
      <c r="N27" t="s" s="442">
        <f>IF(AND(MONTH(N6)=$G$27,YEAR(N6)=$H$27),$D$27,"")</f>
      </c>
      <c r="O27" t="s" s="442">
        <f>IF(AND(MONTH(O6)=$G$27,YEAR(O6)=$H$27),$D$27,"")</f>
      </c>
      <c r="P27" t="s" s="442">
        <f>IF(AND(MONTH(P6)=$G$27,YEAR(P6)=$H$27),$D$27,"")</f>
      </c>
      <c r="Q27" t="s" s="442">
        <f>IF(AND(MONTH(Q6)=$G$27,YEAR(Q6)=$H$27),$D$27,"")</f>
      </c>
      <c r="R27" s="438">
        <f>IF(AND(MONTH(R6)=$G$27,YEAR(R6)=$H$27),$D$27,"")</f>
        <v>500</v>
      </c>
      <c r="S27" t="s" s="442">
        <f>IF(AND(MONTH(S6)=$G$27,YEAR(S6)=$H$27),$D$27,"")</f>
      </c>
      <c r="T27" t="s" s="442">
        <f>IF(AND(MONTH(T6)=$G$27,YEAR(T6)=$H$27),$D$27,"")</f>
      </c>
      <c r="U27" t="s" s="442">
        <f>IF(AND(MONTH(U6)=$G$27,YEAR(U6)=$H$27),$D$27,"")</f>
      </c>
      <c r="V27" t="s" s="442">
        <f>IF(AND(MONTH(V6)=$G$27,YEAR(V6)=$H$27),$D$27,"")</f>
      </c>
      <c r="W27" t="s" s="442">
        <f>IF(AND(MONTH(W6)=$G$27,YEAR(W6)=$H$27),$D$27,"")</f>
      </c>
      <c r="X27" t="s" s="442">
        <f>IF(AND(MONTH(X6)=$G$27,YEAR(X6)=$H$27),$D$27,"")</f>
      </c>
      <c r="Y27" t="s" s="442">
        <f>IF(AND(MONTH(Y6)=$G$27,YEAR(Y6)=$H$27),$D$27,"")</f>
      </c>
      <c r="Z27" t="s" s="442">
        <f>IF(AND(MONTH(Z6)=$G$27,YEAR(Z6)=$H$27),$D$27,"")</f>
      </c>
      <c r="AA27" t="s" s="442">
        <f>IF(AND(MONTH(AA6)=$G$27,YEAR(AA6)=$H$27),$D$27,"")</f>
      </c>
      <c r="AB27" t="s" s="442">
        <f>IF(AND(MONTH(AB6)=$G$27,YEAR(AB6)=$H$27),$D$27,"")</f>
      </c>
      <c r="AC27" t="s" s="442">
        <f>IF(AND(MONTH(AC6)=$G$27,YEAR(AC6)=$H$27),$D$27,"")</f>
      </c>
      <c r="AD27" t="s" s="442">
        <f>IF(AND(MONTH(AD6)=$G$27,YEAR(AD6)=$H$27),$D$27,"")</f>
      </c>
      <c r="AE27" t="s" s="442">
        <f>IF(AND(MONTH(AE6)=$G$27,YEAR(AE6)=$H$27),$D$27,"")</f>
      </c>
      <c r="AF27" t="s" s="442">
        <f>IF(AND(MONTH(AF6)=$G$27,YEAR(AF6)=$H$27),$D$27,"")</f>
      </c>
      <c r="AG27" t="s" s="442">
        <f>IF(AND(MONTH(AG6)=$G$27,YEAR(AG6)=$H$27),$D$27,"")</f>
      </c>
      <c r="AH27" t="s" s="442">
        <f>IF(AND(MONTH(AH6)=$G$27,YEAR(AH6)=$H$27),$D$27,"")</f>
      </c>
      <c r="AI27" t="s" s="442">
        <f>IF(AND(MONTH(AI6)=$G$27,YEAR(AI6)=$H$27),$D$27,"")</f>
      </c>
      <c r="AJ27" t="s" s="442">
        <f>IF(AND(MONTH(AJ6)=$G$27,YEAR(AJ6)=$H$27),$D$27,"")</f>
      </c>
      <c r="AK27" t="s" s="442">
        <f>IF(AND(MONTH(AK6)=$G$27,YEAR(AK6)=$H$27),$D$27,"")</f>
      </c>
      <c r="AL27" t="s" s="442">
        <f>IF(AND(MONTH(AL6)=$G$27,YEAR(AL6)=$H$27),$D$27,"")</f>
      </c>
      <c r="AM27" t="s" s="442">
        <f>IF(AND(MONTH(AM6)=$G$27,YEAR(AM6)=$H$27),$D$27,"")</f>
      </c>
      <c r="AN27" t="s" s="442">
        <f>IF(AND(MONTH(AN6)=$G$27,YEAR(AN6)=$H$27),$D$27,"")</f>
      </c>
      <c r="AO27" t="s" s="442">
        <f>IF(AND(MONTH(AO6)=$G$27,YEAR(AO6)=$H$27),$D$27,"")</f>
      </c>
      <c r="AP27" t="s" s="442">
        <f>IF(AND(MONTH(AP6)=$G$27,YEAR(AP6)=$H$27),$D$27,"")</f>
      </c>
      <c r="AQ27" t="s" s="442">
        <f>IF(AND(MONTH(AQ6)=$G$27,YEAR(AQ6)=$H$27),$D$27,"")</f>
      </c>
      <c r="AR27" t="s" s="442">
        <f>IF(AND(MONTH(AR6)=$G$27,YEAR(AR6)=$H$27),$D$27,"")</f>
      </c>
      <c r="AS27" s="432"/>
      <c r="AT27" s="443">
        <f>D27-SUM(I27:AR27)</f>
        <v>0</v>
      </c>
    </row>
    <row r="28" s="417" customFormat="1" ht="15" customHeight="1">
      <c r="A28" t="s" s="437">
        <v>721</v>
      </c>
      <c r="B28" s="451">
        <v>500</v>
      </c>
      <c r="C28" s="451"/>
      <c r="D28" s="453">
        <f>SUM(B28:C28)</f>
        <v>500</v>
      </c>
      <c r="E28" s="452"/>
      <c r="F28" s="439"/>
      <c r="G28" s="440">
        <f>MONTH((DATE(1899,12,31)+(0*7+IF(F28&gt;60,F28-1,F28))))</f>
        <v>12</v>
      </c>
      <c r="H28" s="441">
        <v>2020</v>
      </c>
      <c r="I28" t="s" s="442">
        <f>IF(AND(MONTH(I6)=$G$28,YEAR(I6)=$H$28),$D$28,"")</f>
      </c>
      <c r="J28" t="s" s="442">
        <f>IF(AND(MONTH(J6)=$G$28,YEAR(J6)=$H$28),$D$28,"")</f>
      </c>
      <c r="K28" t="s" s="442">
        <f>IF(AND(MONTH(K6)=$G$28,YEAR(K6)=$H$28),$D$28,"")</f>
      </c>
      <c r="L28" t="s" s="442">
        <f>IF(AND(MONTH(L6)=$G$28,YEAR(L6)=$H$28),$D$28,"")</f>
      </c>
      <c r="M28" t="s" s="442">
        <f>IF(AND(MONTH(M6)=$G$28,YEAR(M6)=$H$28),$D$28,"")</f>
      </c>
      <c r="N28" t="s" s="442">
        <f>IF(AND(MONTH(N6)=$G$28,YEAR(N6)=$H$28),$D$28,"")</f>
      </c>
      <c r="O28" t="s" s="442">
        <f>IF(AND(MONTH(O6)=$G$28,YEAR(O6)=$H$28),$D$28,"")</f>
      </c>
      <c r="P28" t="s" s="442">
        <f>IF(AND(MONTH(P6)=$G$28,YEAR(P6)=$H$28),$D$28,"")</f>
      </c>
      <c r="Q28" s="438">
        <f>IF(AND(MONTH(Q6)=$G$28,YEAR(Q6)=$H$28),$D$28,"")</f>
        <v>500</v>
      </c>
      <c r="R28" t="s" s="442">
        <f>IF(AND(MONTH(R6)=$G$28,YEAR(R6)=$H$28),$D$28,"")</f>
      </c>
      <c r="S28" t="s" s="442">
        <f>IF(AND(MONTH(S6)=$G$28,YEAR(S6)=$H$28),$D$28,"")</f>
      </c>
      <c r="T28" t="s" s="442">
        <f>IF(AND(MONTH(T6)=$G$28,YEAR(T6)=$H$28),$D$28,"")</f>
      </c>
      <c r="U28" t="s" s="442">
        <f>IF(AND(MONTH(U6)=$G$28,YEAR(U6)=$H$28),$D$28,"")</f>
      </c>
      <c r="V28" t="s" s="442">
        <f>IF(AND(MONTH(V6)=$G$28,YEAR(V6)=$H$28),$D$28,"")</f>
      </c>
      <c r="W28" t="s" s="442">
        <f>IF(AND(MONTH(W6)=$G$28,YEAR(W6)=$H$28),$D$28,"")</f>
      </c>
      <c r="X28" t="s" s="442">
        <f>IF(AND(MONTH(X6)=$G$28,YEAR(X6)=$H$28),$D$28,"")</f>
      </c>
      <c r="Y28" t="s" s="442">
        <f>IF(AND(MONTH(Y6)=$G$28,YEAR(Y6)=$H$28),$D$28,"")</f>
      </c>
      <c r="Z28" t="s" s="442">
        <f>IF(AND(MONTH(Z6)=$G$28,YEAR(Z6)=$H$28),$D$28,"")</f>
      </c>
      <c r="AA28" t="s" s="442">
        <f>IF(AND(MONTH(AA6)=$G$28,YEAR(AA6)=$H$28),$D$28,"")</f>
      </c>
      <c r="AB28" t="s" s="442">
        <f>IF(AND(MONTH(AB6)=$G$28,YEAR(AB6)=$H$28),$D$28,"")</f>
      </c>
      <c r="AC28" t="s" s="442">
        <f>IF(AND(MONTH(AC6)=$G$28,YEAR(AC6)=$H$28),$D$28,"")</f>
      </c>
      <c r="AD28" t="s" s="442">
        <f>IF(AND(MONTH(AD6)=$G$28,YEAR(AD6)=$H$28),$D$28,"")</f>
      </c>
      <c r="AE28" t="s" s="442">
        <f>IF(AND(MONTH(AE6)=$G$28,YEAR(AE6)=$H$28),$D$28,"")</f>
      </c>
      <c r="AF28" t="s" s="442">
        <f>IF(AND(MONTH(AF6)=$G$28,YEAR(AF6)=$H$28),$D$28,"")</f>
      </c>
      <c r="AG28" t="s" s="442">
        <f>IF(AND(MONTH(AG6)=$G$28,YEAR(AG6)=$H$28),$D$28,"")</f>
      </c>
      <c r="AH28" t="s" s="442">
        <f>IF(AND(MONTH(AH6)=$G$28,YEAR(AH6)=$H$28),$D$28,"")</f>
      </c>
      <c r="AI28" t="s" s="442">
        <f>IF(AND(MONTH(AI6)=$G$28,YEAR(AI6)=$H$28),$D$28,"")</f>
      </c>
      <c r="AJ28" t="s" s="442">
        <f>IF(AND(MONTH(AJ6)=$G$28,YEAR(AJ6)=$H$28),$D$28,"")</f>
      </c>
      <c r="AK28" t="s" s="442">
        <f>IF(AND(MONTH(AK6)=$G$28,YEAR(AK6)=$H$28),$D$28,"")</f>
      </c>
      <c r="AL28" t="s" s="442">
        <f>IF(AND(MONTH(AL6)=$G$28,YEAR(AL6)=$H$28),$D$28,"")</f>
      </c>
      <c r="AM28" t="s" s="442">
        <f>IF(AND(MONTH(AM6)=$G$28,YEAR(AM6)=$H$28),$D$28,"")</f>
      </c>
      <c r="AN28" t="s" s="442">
        <f>IF(AND(MONTH(AN6)=$G$28,YEAR(AN6)=$H$28),$D$28,"")</f>
      </c>
      <c r="AO28" t="s" s="442">
        <f>IF(AND(MONTH(AO6)=$G$28,YEAR(AO6)=$H$28),$D$28,"")</f>
      </c>
      <c r="AP28" t="s" s="442">
        <f>IF(AND(MONTH(AP6)=$G$28,YEAR(AP6)=$H$28),$D$28,"")</f>
      </c>
      <c r="AQ28" t="s" s="442">
        <f>IF(AND(MONTH(AQ6)=$G$28,YEAR(AQ6)=$H$28),$D$28,"")</f>
      </c>
      <c r="AR28" t="s" s="442">
        <f>IF(AND(MONTH(AR6)=$G$28,YEAR(AR6)=$H$28),$D$28,"")</f>
      </c>
      <c r="AS28" s="432"/>
      <c r="AT28" s="443">
        <f>D28-SUM(I28:AR28)</f>
        <v>0</v>
      </c>
    </row>
    <row r="29" s="417" customFormat="1" ht="15" customHeight="1">
      <c r="A29" t="s" s="437">
        <v>722</v>
      </c>
      <c r="B29" s="451">
        <v>500</v>
      </c>
      <c r="C29" s="451"/>
      <c r="D29" s="453">
        <f>SUM(B29:C29)</f>
        <v>500</v>
      </c>
      <c r="E29" s="452"/>
      <c r="F29" s="439"/>
      <c r="G29" s="440">
        <v>11</v>
      </c>
      <c r="H29" s="441">
        <v>2020</v>
      </c>
      <c r="I29" t="s" s="442">
        <f>IF(AND(MONTH(I6)=$G$29,YEAR(I6)=$H$29),$D$29,"")</f>
      </c>
      <c r="J29" t="s" s="442">
        <f>IF(AND(MONTH(J6)=$G$29,YEAR(J6)=$H$29),$D$29,"")</f>
      </c>
      <c r="K29" t="s" s="442">
        <f>IF(AND(MONTH(K6)=$G$29,YEAR(K6)=$H$29),$D$29,"")</f>
      </c>
      <c r="L29" t="s" s="442">
        <f>IF(AND(MONTH(L6)=$G$29,YEAR(L6)=$H$29),$D$29,"")</f>
      </c>
      <c r="M29" t="s" s="442">
        <f>IF(AND(MONTH(M6)=$G$29,YEAR(M6)=$H$29),$D$29,"")</f>
      </c>
      <c r="N29" t="s" s="442">
        <f>IF(AND(MONTH(N6)=$G$29,YEAR(N6)=$H$29),$D$29,"")</f>
      </c>
      <c r="O29" t="s" s="442">
        <f>IF(AND(MONTH(O6)=$G$29,YEAR(O6)=$H$29),$D$29,"")</f>
      </c>
      <c r="P29" s="438">
        <f>IF(AND(MONTH(P6)=$G$29,YEAR(P6)=$H$29),$D$29,"")</f>
        <v>500</v>
      </c>
      <c r="Q29" t="s" s="442">
        <f>IF(AND(MONTH(Q6)=$G$29,YEAR(Q6)=$H$29),$D$29,"")</f>
      </c>
      <c r="R29" t="s" s="442">
        <f>IF(AND(MONTH(R6)=$G$29,YEAR(R6)=$H$29),$D$29,"")</f>
      </c>
      <c r="S29" t="s" s="442">
        <f>IF(AND(MONTH(S6)=$G$29,YEAR(S6)=$H$29),$D$29,"")</f>
      </c>
      <c r="T29" t="s" s="442">
        <f>IF(AND(MONTH(T6)=$G$29,YEAR(T6)=$H$29),$D$29,"")</f>
      </c>
      <c r="U29" t="s" s="442">
        <f>IF(AND(MONTH(U6)=$G$29,YEAR(U6)=$H$29),$D$29,"")</f>
      </c>
      <c r="V29" t="s" s="442">
        <f>IF(AND(MONTH(V6)=$G$29,YEAR(V6)=$H$29),$D$29,"")</f>
      </c>
      <c r="W29" t="s" s="442">
        <f>IF(AND(MONTH(W6)=$G$29,YEAR(W6)=$H$29),$D$29,"")</f>
      </c>
      <c r="X29" t="s" s="442">
        <f>IF(AND(MONTH(X6)=$G$29,YEAR(X6)=$H$29),$D$29,"")</f>
      </c>
      <c r="Y29" t="s" s="442">
        <f>IF(AND(MONTH(Y6)=$G$29,YEAR(Y6)=$H$29),$D$29,"")</f>
      </c>
      <c r="Z29" t="s" s="442">
        <f>IF(AND(MONTH(Z6)=$G$29,YEAR(Z6)=$H$29),$D$29,"")</f>
      </c>
      <c r="AA29" t="s" s="442">
        <f>IF(AND(MONTH(AA6)=$G$29,YEAR(AA6)=$H$29),$D$29,"")</f>
      </c>
      <c r="AB29" t="s" s="442">
        <f>IF(AND(MONTH(AB6)=$G$29,YEAR(AB6)=$H$29),$D$29,"")</f>
      </c>
      <c r="AC29" t="s" s="442">
        <f>IF(AND(MONTH(AC6)=$G$29,YEAR(AC6)=$H$29),$D$29,"")</f>
      </c>
      <c r="AD29" t="s" s="442">
        <f>IF(AND(MONTH(AD6)=$G$29,YEAR(AD6)=$H$29),$D$29,"")</f>
      </c>
      <c r="AE29" t="s" s="442">
        <f>IF(AND(MONTH(AE6)=$G$29,YEAR(AE6)=$H$29),$D$29,"")</f>
      </c>
      <c r="AF29" t="s" s="442">
        <f>IF(AND(MONTH(AF6)=$G$29,YEAR(AF6)=$H$29),$D$29,"")</f>
      </c>
      <c r="AG29" t="s" s="442">
        <f>IF(AND(MONTH(AG6)=$G$29,YEAR(AG6)=$H$29),$D$29,"")</f>
      </c>
      <c r="AH29" t="s" s="442">
        <f>IF(AND(MONTH(AH6)=$G$29,YEAR(AH6)=$H$29),$D$29,"")</f>
      </c>
      <c r="AI29" t="s" s="442">
        <f>IF(AND(MONTH(AI6)=$G$29,YEAR(AI6)=$H$29),$D$29,"")</f>
      </c>
      <c r="AJ29" t="s" s="442">
        <f>IF(AND(MONTH(AJ6)=$G$29,YEAR(AJ6)=$H$29),$D$29,"")</f>
      </c>
      <c r="AK29" t="s" s="442">
        <f>IF(AND(MONTH(AK6)=$G$29,YEAR(AK6)=$H$29),$D$29,"")</f>
      </c>
      <c r="AL29" t="s" s="442">
        <f>IF(AND(MONTH(AL6)=$G$29,YEAR(AL6)=$H$29),$D$29,"")</f>
      </c>
      <c r="AM29" t="s" s="442">
        <f>IF(AND(MONTH(AM6)=$G$29,YEAR(AM6)=$H$29),$D$29,"")</f>
      </c>
      <c r="AN29" t="s" s="442">
        <f>IF(AND(MONTH(AN6)=$G$29,YEAR(AN6)=$H$29),$D$29,"")</f>
      </c>
      <c r="AO29" t="s" s="442">
        <f>IF(AND(MONTH(AO6)=$G$29,YEAR(AO6)=$H$29),$D$29,"")</f>
      </c>
      <c r="AP29" t="s" s="442">
        <f>IF(AND(MONTH(AP6)=$G$29,YEAR(AP6)=$H$29),$D$29,"")</f>
      </c>
      <c r="AQ29" t="s" s="442">
        <f>IF(AND(MONTH(AQ6)=$G$29,YEAR(AQ6)=$H$29),$D$29,"")</f>
      </c>
      <c r="AR29" t="s" s="442">
        <f>IF(AND(MONTH(AR6)=$G$29,YEAR(AR6)=$H$29),$D$29,"")</f>
      </c>
      <c r="AS29" s="432"/>
      <c r="AT29" s="443">
        <f>D29-SUM(I29:AR29)</f>
        <v>0</v>
      </c>
    </row>
    <row r="30" s="417" customFormat="1" ht="15" customHeight="1">
      <c r="A30" t="s" s="437">
        <v>723</v>
      </c>
      <c r="B30" s="451">
        <v>500</v>
      </c>
      <c r="C30" s="451"/>
      <c r="D30" s="453">
        <f>SUM(B30:C30)</f>
        <v>500</v>
      </c>
      <c r="E30" s="452"/>
      <c r="F30" s="439"/>
      <c r="G30" s="440">
        <v>11</v>
      </c>
      <c r="H30" s="441">
        <v>2020</v>
      </c>
      <c r="I30" t="s" s="442">
        <f>IF(AND(MONTH(I6)=$G$30,YEAR(I6)=$H$30),$D$30,"")</f>
      </c>
      <c r="J30" t="s" s="442">
        <f>IF(AND(MONTH(J6)=$G$30,YEAR(J6)=$H$30),$D$30,"")</f>
      </c>
      <c r="K30" t="s" s="442">
        <f>IF(AND(MONTH(K6)=$G$30,YEAR(K6)=$H$30),$D$30,"")</f>
      </c>
      <c r="L30" t="s" s="442">
        <f>IF(AND(MONTH(L6)=$G$30,YEAR(L6)=$H$30),$D$30,"")</f>
      </c>
      <c r="M30" t="s" s="442">
        <f>IF(AND(MONTH(M6)=$G$30,YEAR(M6)=$H$30),$D$30,"")</f>
      </c>
      <c r="N30" t="s" s="442">
        <f>IF(AND(MONTH(N6)=$G$30,YEAR(N6)=$H$30),$D$30,"")</f>
      </c>
      <c r="O30" t="s" s="442">
        <f>IF(AND(MONTH(O6)=$G$30,YEAR(O6)=$H$30),$D$30,"")</f>
      </c>
      <c r="P30" s="438">
        <f>IF(AND(MONTH(P6)=$G$30,YEAR(P6)=$H$30),$D$30,"")</f>
        <v>500</v>
      </c>
      <c r="Q30" t="s" s="442">
        <f>IF(AND(MONTH(Q6)=$G$30,YEAR(Q6)=$H$30),$D$30,"")</f>
      </c>
      <c r="R30" t="s" s="442">
        <f>IF(AND(MONTH(R6)=$G$30,YEAR(R6)=$H$30),$D$30,"")</f>
      </c>
      <c r="S30" t="s" s="442">
        <f>IF(AND(MONTH(S6)=$G$30,YEAR(S6)=$H$30),$D$30,"")</f>
      </c>
      <c r="T30" t="s" s="442">
        <f>IF(AND(MONTH(T6)=$G$30,YEAR(T6)=$H$30),$D$30,"")</f>
      </c>
      <c r="U30" t="s" s="442">
        <f>IF(AND(MONTH(U6)=$G$30,YEAR(U6)=$H$30),$D$30,"")</f>
      </c>
      <c r="V30" t="s" s="442">
        <f>IF(AND(MONTH(V6)=$G$30,YEAR(V6)=$H$30),$D$30,"")</f>
      </c>
      <c r="W30" t="s" s="442">
        <f>IF(AND(MONTH(W6)=$G$30,YEAR(W6)=$H$30),$D$30,"")</f>
      </c>
      <c r="X30" t="s" s="442">
        <f>IF(AND(MONTH(X6)=$G$30,YEAR(X6)=$H$30),$D$30,"")</f>
      </c>
      <c r="Y30" t="s" s="442">
        <f>IF(AND(MONTH(Y6)=$G$30,YEAR(Y6)=$H$30),$D$30,"")</f>
      </c>
      <c r="Z30" t="s" s="442">
        <f>IF(AND(MONTH(Z6)=$G$30,YEAR(Z6)=$H$30),$D$30,"")</f>
      </c>
      <c r="AA30" t="s" s="442">
        <f>IF(AND(MONTH(AA6)=$G$30,YEAR(AA6)=$H$30),$D$30,"")</f>
      </c>
      <c r="AB30" t="s" s="442">
        <f>IF(AND(MONTH(AB6)=$G$30,YEAR(AB6)=$H$30),$D$30,"")</f>
      </c>
      <c r="AC30" t="s" s="442">
        <f>IF(AND(MONTH(AC6)=$G$30,YEAR(AC6)=$H$30),$D$30,"")</f>
      </c>
      <c r="AD30" t="s" s="442">
        <f>IF(AND(MONTH(AD6)=$G$30,YEAR(AD6)=$H$30),$D$30,"")</f>
      </c>
      <c r="AE30" t="s" s="442">
        <f>IF(AND(MONTH(AE6)=$G$30,YEAR(AE6)=$H$30),$D$30,"")</f>
      </c>
      <c r="AF30" t="s" s="442">
        <f>IF(AND(MONTH(AF6)=$G$30,YEAR(AF6)=$H$30),$D$30,"")</f>
      </c>
      <c r="AG30" t="s" s="442">
        <f>IF(AND(MONTH(AG6)=$G$30,YEAR(AG6)=$H$30),$D$30,"")</f>
      </c>
      <c r="AH30" t="s" s="442">
        <f>IF(AND(MONTH(AH6)=$G$30,YEAR(AH6)=$H$30),$D$30,"")</f>
      </c>
      <c r="AI30" t="s" s="442">
        <f>IF(AND(MONTH(AI6)=$G$30,YEAR(AI6)=$H$30),$D$30,"")</f>
      </c>
      <c r="AJ30" t="s" s="442">
        <f>IF(AND(MONTH(AJ6)=$G$30,YEAR(AJ6)=$H$30),$D$30,"")</f>
      </c>
      <c r="AK30" t="s" s="442">
        <f>IF(AND(MONTH(AK6)=$G$30,YEAR(AK6)=$H$30),$D$30,"")</f>
      </c>
      <c r="AL30" t="s" s="442">
        <f>IF(AND(MONTH(AL6)=$G$30,YEAR(AL6)=$H$30),$D$30,"")</f>
      </c>
      <c r="AM30" t="s" s="442">
        <f>IF(AND(MONTH(AM6)=$G$30,YEAR(AM6)=$H$30),$D$30,"")</f>
      </c>
      <c r="AN30" t="s" s="442">
        <f>IF(AND(MONTH(AN6)=$G$30,YEAR(AN6)=$H$30),$D$30,"")</f>
      </c>
      <c r="AO30" t="s" s="442">
        <f>IF(AND(MONTH(AO6)=$G$30,YEAR(AO6)=$H$30),$D$30,"")</f>
      </c>
      <c r="AP30" t="s" s="442">
        <f>IF(AND(MONTH(AP6)=$G$30,YEAR(AP6)=$H$30),$D$30,"")</f>
      </c>
      <c r="AQ30" t="s" s="442">
        <f>IF(AND(MONTH(AQ6)=$G$30,YEAR(AQ6)=$H$30),$D$30,"")</f>
      </c>
      <c r="AR30" t="s" s="442">
        <f>IF(AND(MONTH(AR6)=$G$30,YEAR(AR6)=$H$30),$D$30,"")</f>
      </c>
      <c r="AS30" s="432"/>
      <c r="AT30" s="443">
        <f>D30-SUM(I30:AR30)</f>
        <v>0</v>
      </c>
    </row>
    <row r="31" s="417" customFormat="1" ht="15" customHeight="1">
      <c r="A31" t="s" s="437">
        <v>724</v>
      </c>
      <c r="B31" s="451">
        <v>500</v>
      </c>
      <c r="C31" s="451"/>
      <c r="D31" s="453">
        <f>SUM(B31:C31)</f>
        <v>500</v>
      </c>
      <c r="E31" s="452"/>
      <c r="F31" s="439"/>
      <c r="G31" s="440">
        <f>MONTH((DATE(1899,12,31)+(0*7+IF(F31&gt;60,F31-1,F31))))</f>
        <v>12</v>
      </c>
      <c r="H31" s="441">
        <v>2020</v>
      </c>
      <c r="I31" t="s" s="442">
        <f>IF(AND(MONTH(I6)=$G$31,YEAR(I6)=$H$31),$D$31,"")</f>
      </c>
      <c r="J31" t="s" s="442">
        <f>IF(AND(MONTH(J6)=$G$31,YEAR(J6)=$H$31),$D$31,"")</f>
      </c>
      <c r="K31" t="s" s="442">
        <f>IF(AND(MONTH(K6)=$G$31,YEAR(K6)=$H$31),$D$31,"")</f>
      </c>
      <c r="L31" t="s" s="442">
        <f>IF(AND(MONTH(L6)=$G$31,YEAR(L6)=$H$31),$D$31,"")</f>
      </c>
      <c r="M31" t="s" s="442">
        <f>IF(AND(MONTH(M6)=$G$31,YEAR(M6)=$H$31),$D$31,"")</f>
      </c>
      <c r="N31" t="s" s="442">
        <f>IF(AND(MONTH(N6)=$G$31,YEAR(N6)=$H$31),$D$31,"")</f>
      </c>
      <c r="O31" t="s" s="442">
        <f>IF(AND(MONTH(O6)=$G$31,YEAR(O6)=$H$31),$D$31,"")</f>
      </c>
      <c r="P31" t="s" s="442">
        <f>IF(AND(MONTH(P6)=$G$31,YEAR(P6)=$H$31),$D$31,"")</f>
      </c>
      <c r="Q31" s="438">
        <f>IF(AND(MONTH(Q6)=$G$31,YEAR(Q6)=$H$31),$D$31,"")</f>
        <v>500</v>
      </c>
      <c r="R31" t="s" s="442">
        <f>IF(AND(MONTH(R6)=$G$31,YEAR(R6)=$H$31),$D$31,"")</f>
      </c>
      <c r="S31" t="s" s="442">
        <f>IF(AND(MONTH(S6)=$G$31,YEAR(S6)=$H$31),$D$31,"")</f>
      </c>
      <c r="T31" t="s" s="442">
        <f>IF(AND(MONTH(T6)=$G$31,YEAR(T6)=$H$31),$D$31,"")</f>
      </c>
      <c r="U31" t="s" s="442">
        <f>IF(AND(MONTH(U6)=$G$31,YEAR(U6)=$H$31),$D$31,"")</f>
      </c>
      <c r="V31" t="s" s="442">
        <f>IF(AND(MONTH(V6)=$G$31,YEAR(V6)=$H$31),$D$31,"")</f>
      </c>
      <c r="W31" t="s" s="442">
        <f>IF(AND(MONTH(W6)=$G$31,YEAR(W6)=$H$31),$D$31,"")</f>
      </c>
      <c r="X31" t="s" s="442">
        <f>IF(AND(MONTH(X6)=$G$31,YEAR(X6)=$H$31),$D$31,"")</f>
      </c>
      <c r="Y31" t="s" s="442">
        <f>IF(AND(MONTH(Y6)=$G$31,YEAR(Y6)=$H$31),$D$31,"")</f>
      </c>
      <c r="Z31" t="s" s="442">
        <f>IF(AND(MONTH(Z6)=$G$31,YEAR(Z6)=$H$31),$D$31,"")</f>
      </c>
      <c r="AA31" t="s" s="442">
        <f>IF(AND(MONTH(AA6)=$G$31,YEAR(AA6)=$H$31),$D$31,"")</f>
      </c>
      <c r="AB31" t="s" s="442">
        <f>IF(AND(MONTH(AB6)=$G$31,YEAR(AB6)=$H$31),$D$31,"")</f>
      </c>
      <c r="AC31" t="s" s="442">
        <f>IF(AND(MONTH(AC6)=$G$31,YEAR(AC6)=$H$31),$D$31,"")</f>
      </c>
      <c r="AD31" t="s" s="442">
        <f>IF(AND(MONTH(AD6)=$G$31,YEAR(AD6)=$H$31),$D$31,"")</f>
      </c>
      <c r="AE31" t="s" s="442">
        <f>IF(AND(MONTH(AE6)=$G$31,YEAR(AE6)=$H$31),$D$31,"")</f>
      </c>
      <c r="AF31" t="s" s="442">
        <f>IF(AND(MONTH(AF6)=$G$31,YEAR(AF6)=$H$31),$D$31,"")</f>
      </c>
      <c r="AG31" t="s" s="442">
        <f>IF(AND(MONTH(AG6)=$G$31,YEAR(AG6)=$H$31),$D$31,"")</f>
      </c>
      <c r="AH31" t="s" s="442">
        <f>IF(AND(MONTH(AH6)=$G$31,YEAR(AH6)=$H$31),$D$31,"")</f>
      </c>
      <c r="AI31" t="s" s="442">
        <f>IF(AND(MONTH(AI6)=$G$31,YEAR(AI6)=$H$31),$D$31,"")</f>
      </c>
      <c r="AJ31" t="s" s="442">
        <f>IF(AND(MONTH(AJ6)=$G$31,YEAR(AJ6)=$H$31),$D$31,"")</f>
      </c>
      <c r="AK31" t="s" s="442">
        <f>IF(AND(MONTH(AK6)=$G$31,YEAR(AK6)=$H$31),$D$31,"")</f>
      </c>
      <c r="AL31" t="s" s="442">
        <f>IF(AND(MONTH(AL6)=$G$31,YEAR(AL6)=$H$31),$D$31,"")</f>
      </c>
      <c r="AM31" t="s" s="442">
        <f>IF(AND(MONTH(AM6)=$G$31,YEAR(AM6)=$H$31),$D$31,"")</f>
      </c>
      <c r="AN31" t="s" s="442">
        <f>IF(AND(MONTH(AN6)=$G$31,YEAR(AN6)=$H$31),$D$31,"")</f>
      </c>
      <c r="AO31" t="s" s="442">
        <f>IF(AND(MONTH(AO6)=$G$31,YEAR(AO6)=$H$31),$D$31,"")</f>
      </c>
      <c r="AP31" t="s" s="442">
        <f>IF(AND(MONTH(AP6)=$G$31,YEAR(AP6)=$H$31),$D$31,"")</f>
      </c>
      <c r="AQ31" t="s" s="442">
        <f>IF(AND(MONTH(AQ6)=$G$31,YEAR(AQ6)=$H$31),$D$31,"")</f>
      </c>
      <c r="AR31" t="s" s="442">
        <f>IF(AND(MONTH(AR6)=$G$31,YEAR(AR6)=$H$31),$D$31,"")</f>
      </c>
      <c r="AS31" s="432"/>
      <c r="AT31" s="443">
        <f>D31-SUM(I31:AR31)</f>
        <v>0</v>
      </c>
    </row>
    <row r="32" s="417" customFormat="1" ht="15" customHeight="1">
      <c r="A32" t="s" s="437">
        <v>725</v>
      </c>
      <c r="B32" s="451">
        <v>500</v>
      </c>
      <c r="C32" s="451"/>
      <c r="D32" s="453">
        <f>SUM(B32:C32)</f>
        <v>500</v>
      </c>
      <c r="E32" s="452"/>
      <c r="F32" s="439"/>
      <c r="G32" s="440">
        <f>MONTH((DATE(1899,12,31)+(0*7+IF(F32&gt;60,F32-1,F32))))</f>
        <v>12</v>
      </c>
      <c r="H32" s="441">
        <v>2020</v>
      </c>
      <c r="I32" t="s" s="442">
        <f>IF(AND(MONTH(I6)=$G$32,YEAR(I6)=$H$32),$D$32,"")</f>
      </c>
      <c r="J32" t="s" s="442">
        <f>IF(AND(MONTH(J6)=$G$32,YEAR(J6)=$H$32),$D$32,"")</f>
      </c>
      <c r="K32" t="s" s="442">
        <f>IF(AND(MONTH(K6)=$G$32,YEAR(K6)=$H$32),$D$32,"")</f>
      </c>
      <c r="L32" t="s" s="442">
        <f>IF(AND(MONTH(L6)=$G$32,YEAR(L6)=$H$32),$D$32,"")</f>
      </c>
      <c r="M32" t="s" s="442">
        <f>IF(AND(MONTH(M6)=$G$32,YEAR(M6)=$H$32),$D$32,"")</f>
      </c>
      <c r="N32" t="s" s="442">
        <f>IF(AND(MONTH(N6)=$G$32,YEAR(N6)=$H$32),$D$32,"")</f>
      </c>
      <c r="O32" t="s" s="442">
        <f>IF(AND(MONTH(O6)=$G$32,YEAR(O6)=$H$32),$D$32,"")</f>
      </c>
      <c r="P32" t="s" s="442">
        <f>IF(AND(MONTH(P6)=$G$32,YEAR(P6)=$H$32),$D$32,"")</f>
      </c>
      <c r="Q32" s="438">
        <f>IF(AND(MONTH(Q6)=$G$32,YEAR(Q6)=$H$32),$D$32,"")</f>
        <v>500</v>
      </c>
      <c r="R32" t="s" s="442">
        <f>IF(AND(MONTH(R6)=$G$32,YEAR(R6)=$H$32),$D$32,"")</f>
      </c>
      <c r="S32" t="s" s="442">
        <f>IF(AND(MONTH(S6)=$G$32,YEAR(S6)=$H$32),$D$32,"")</f>
      </c>
      <c r="T32" t="s" s="442">
        <f>IF(AND(MONTH(T6)=$G$32,YEAR(T6)=$H$32),$D$32,"")</f>
      </c>
      <c r="U32" t="s" s="442">
        <f>IF(AND(MONTH(U6)=$G$32,YEAR(U6)=$H$32),$D$32,"")</f>
      </c>
      <c r="V32" t="s" s="442">
        <f>IF(AND(MONTH(V6)=$G$32,YEAR(V6)=$H$32),$D$32,"")</f>
      </c>
      <c r="W32" t="s" s="442">
        <f>IF(AND(MONTH(W6)=$G$32,YEAR(W6)=$H$32),$D$32,"")</f>
      </c>
      <c r="X32" t="s" s="442">
        <f>IF(AND(MONTH(X6)=$G$32,YEAR(X6)=$H$32),$D$32,"")</f>
      </c>
      <c r="Y32" t="s" s="442">
        <f>IF(AND(MONTH(Y6)=$G$32,YEAR(Y6)=$H$32),$D$32,"")</f>
      </c>
      <c r="Z32" t="s" s="442">
        <f>IF(AND(MONTH(Z6)=$G$32,YEAR(Z6)=$H$32),$D$32,"")</f>
      </c>
      <c r="AA32" t="s" s="442">
        <f>IF(AND(MONTH(AA6)=$G$32,YEAR(AA6)=$H$32),$D$32,"")</f>
      </c>
      <c r="AB32" t="s" s="442">
        <f>IF(AND(MONTH(AB6)=$G$32,YEAR(AB6)=$H$32),$D$32,"")</f>
      </c>
      <c r="AC32" t="s" s="442">
        <f>IF(AND(MONTH(AC6)=$G$32,YEAR(AC6)=$H$32),$D$32,"")</f>
      </c>
      <c r="AD32" t="s" s="442">
        <f>IF(AND(MONTH(AD6)=$G$32,YEAR(AD6)=$H$32),$D$32,"")</f>
      </c>
      <c r="AE32" t="s" s="442">
        <f>IF(AND(MONTH(AE6)=$G$32,YEAR(AE6)=$H$32),$D$32,"")</f>
      </c>
      <c r="AF32" t="s" s="442">
        <f>IF(AND(MONTH(AF6)=$G$32,YEAR(AF6)=$H$32),$D$32,"")</f>
      </c>
      <c r="AG32" t="s" s="442">
        <f>IF(AND(MONTH(AG6)=$G$32,YEAR(AG6)=$H$32),$D$32,"")</f>
      </c>
      <c r="AH32" t="s" s="442">
        <f>IF(AND(MONTH(AH6)=$G$32,YEAR(AH6)=$H$32),$D$32,"")</f>
      </c>
      <c r="AI32" t="s" s="442">
        <f>IF(AND(MONTH(AI6)=$G$32,YEAR(AI6)=$H$32),$D$32,"")</f>
      </c>
      <c r="AJ32" t="s" s="442">
        <f>IF(AND(MONTH(AJ6)=$G$32,YEAR(AJ6)=$H$32),$D$32,"")</f>
      </c>
      <c r="AK32" t="s" s="442">
        <f>IF(AND(MONTH(AK6)=$G$32,YEAR(AK6)=$H$32),$D$32,"")</f>
      </c>
      <c r="AL32" t="s" s="442">
        <f>IF(AND(MONTH(AL6)=$G$32,YEAR(AL6)=$H$32),$D$32,"")</f>
      </c>
      <c r="AM32" t="s" s="442">
        <f>IF(AND(MONTH(AM6)=$G$32,YEAR(AM6)=$H$32),$D$32,"")</f>
      </c>
      <c r="AN32" t="s" s="442">
        <f>IF(AND(MONTH(AN6)=$G$32,YEAR(AN6)=$H$32),$D$32,"")</f>
      </c>
      <c r="AO32" t="s" s="442">
        <f>IF(AND(MONTH(AO6)=$G$32,YEAR(AO6)=$H$32),$D$32,"")</f>
      </c>
      <c r="AP32" t="s" s="442">
        <f>IF(AND(MONTH(AP6)=$G$32,YEAR(AP6)=$H$32),$D$32,"")</f>
      </c>
      <c r="AQ32" t="s" s="442">
        <f>IF(AND(MONTH(AQ6)=$G$32,YEAR(AQ6)=$H$32),$D$32,"")</f>
      </c>
      <c r="AR32" t="s" s="442">
        <f>IF(AND(MONTH(AR6)=$G$32,YEAR(AR6)=$H$32),$D$32,"")</f>
      </c>
      <c r="AS32" s="432"/>
      <c r="AT32" s="443">
        <f>D32-SUM(I32:AR32)</f>
        <v>0</v>
      </c>
    </row>
    <row r="33" s="417" customFormat="1" ht="15" customHeight="1">
      <c r="A33" t="s" s="437">
        <v>726</v>
      </c>
      <c r="B33" s="451">
        <v>500</v>
      </c>
      <c r="C33" s="451"/>
      <c r="D33" s="453">
        <f>SUM(B33:C33)</f>
        <v>500</v>
      </c>
      <c r="E33" s="452"/>
      <c r="F33" s="439"/>
      <c r="G33" s="440">
        <f>MONTH((DATE(1899,12,31)+(0*7+IF(F33&gt;60,F33-1,F33))))</f>
        <v>12</v>
      </c>
      <c r="H33" s="441">
        <v>2020</v>
      </c>
      <c r="I33" t="s" s="442">
        <f>IF(AND(MONTH(I6)=$G$33,YEAR(I6)=$H$33),$D$33,"")</f>
      </c>
      <c r="J33" t="s" s="442">
        <f>IF(AND(MONTH(J6)=$G$33,YEAR(J6)=$H$33),$D$33,"")</f>
      </c>
      <c r="K33" t="s" s="442">
        <f>IF(AND(MONTH(K6)=$G$33,YEAR(K6)=$H$33),$D$33,"")</f>
      </c>
      <c r="L33" t="s" s="442">
        <f>IF(AND(MONTH(L6)=$G$33,YEAR(L6)=$H$33),$D$33,"")</f>
      </c>
      <c r="M33" t="s" s="442">
        <f>IF(AND(MONTH(M6)=$G$33,YEAR(M6)=$H$33),$D$33,"")</f>
      </c>
      <c r="N33" t="s" s="442">
        <f>IF(AND(MONTH(N6)=$G$33,YEAR(N6)=$H$33),$D$33,"")</f>
      </c>
      <c r="O33" t="s" s="442">
        <f>IF(AND(MONTH(O6)=$G$33,YEAR(O6)=$H$33),$D$33,"")</f>
      </c>
      <c r="P33" t="s" s="442">
        <f>IF(AND(MONTH(P6)=$G$33,YEAR(P6)=$H$33),$D$33,"")</f>
      </c>
      <c r="Q33" s="438">
        <f>IF(AND(MONTH(Q6)=$G$33,YEAR(Q6)=$H$33),$D$33,"")</f>
        <v>500</v>
      </c>
      <c r="R33" t="s" s="442">
        <f>IF(AND(MONTH(R6)=$G$33,YEAR(R6)=$H$33),$D$33,"")</f>
      </c>
      <c r="S33" t="s" s="442">
        <f>IF(AND(MONTH(S6)=$G$33,YEAR(S6)=$H$33),$D$33,"")</f>
      </c>
      <c r="T33" t="s" s="442">
        <f>IF(AND(MONTH(T6)=$G$33,YEAR(T6)=$H$33),$D$33,"")</f>
      </c>
      <c r="U33" t="s" s="442">
        <f>IF(AND(MONTH(U6)=$G$33,YEAR(U6)=$H$33),$D$33,"")</f>
      </c>
      <c r="V33" t="s" s="442">
        <f>IF(AND(MONTH(V6)=$G$33,YEAR(V6)=$H$33),$D$33,"")</f>
      </c>
      <c r="W33" t="s" s="442">
        <f>IF(AND(MONTH(W6)=$G$33,YEAR(W6)=$H$33),$D$33,"")</f>
      </c>
      <c r="X33" t="s" s="442">
        <f>IF(AND(MONTH(X6)=$G$33,YEAR(X6)=$H$33),$D$33,"")</f>
      </c>
      <c r="Y33" t="s" s="442">
        <f>IF(AND(MONTH(Y6)=$G$33,YEAR(Y6)=$H$33),$D$33,"")</f>
      </c>
      <c r="Z33" t="s" s="442">
        <f>IF(AND(MONTH(Z6)=$G$33,YEAR(Z6)=$H$33),$D$33,"")</f>
      </c>
      <c r="AA33" t="s" s="442">
        <f>IF(AND(MONTH(AA6)=$G$33,YEAR(AA6)=$H$33),$D$33,"")</f>
      </c>
      <c r="AB33" t="s" s="442">
        <f>IF(AND(MONTH(AB6)=$G$33,YEAR(AB6)=$H$33),$D$33,"")</f>
      </c>
      <c r="AC33" t="s" s="442">
        <f>IF(AND(MONTH(AC6)=$G$33,YEAR(AC6)=$H$33),$D$33,"")</f>
      </c>
      <c r="AD33" t="s" s="442">
        <f>IF(AND(MONTH(AD6)=$G$33,YEAR(AD6)=$H$33),$D$33,"")</f>
      </c>
      <c r="AE33" t="s" s="442">
        <f>IF(AND(MONTH(AE6)=$G$33,YEAR(AE6)=$H$33),$D$33,"")</f>
      </c>
      <c r="AF33" t="s" s="442">
        <f>IF(AND(MONTH(AF6)=$G$33,YEAR(AF6)=$H$33),$D$33,"")</f>
      </c>
      <c r="AG33" t="s" s="442">
        <f>IF(AND(MONTH(AG6)=$G$33,YEAR(AG6)=$H$33),$D$33,"")</f>
      </c>
      <c r="AH33" t="s" s="442">
        <f>IF(AND(MONTH(AH6)=$G$33,YEAR(AH6)=$H$33),$D$33,"")</f>
      </c>
      <c r="AI33" t="s" s="442">
        <f>IF(AND(MONTH(AI6)=$G$33,YEAR(AI6)=$H$33),$D$33,"")</f>
      </c>
      <c r="AJ33" t="s" s="442">
        <f>IF(AND(MONTH(AJ6)=$G$33,YEAR(AJ6)=$H$33),$D$33,"")</f>
      </c>
      <c r="AK33" t="s" s="442">
        <f>IF(AND(MONTH(AK6)=$G$33,YEAR(AK6)=$H$33),$D$33,"")</f>
      </c>
      <c r="AL33" t="s" s="442">
        <f>IF(AND(MONTH(AL6)=$G$33,YEAR(AL6)=$H$33),$D$33,"")</f>
      </c>
      <c r="AM33" t="s" s="442">
        <f>IF(AND(MONTH(AM6)=$G$33,YEAR(AM6)=$H$33),$D$33,"")</f>
      </c>
      <c r="AN33" t="s" s="442">
        <f>IF(AND(MONTH(AN6)=$G$33,YEAR(AN6)=$H$33),$D$33,"")</f>
      </c>
      <c r="AO33" t="s" s="442">
        <f>IF(AND(MONTH(AO6)=$G$33,YEAR(AO6)=$H$33),$D$33,"")</f>
      </c>
      <c r="AP33" t="s" s="442">
        <f>IF(AND(MONTH(AP6)=$G$33,YEAR(AP6)=$H$33),$D$33,"")</f>
      </c>
      <c r="AQ33" t="s" s="442">
        <f>IF(AND(MONTH(AQ6)=$G$33,YEAR(AQ6)=$H$33),$D$33,"")</f>
      </c>
      <c r="AR33" t="s" s="442">
        <f>IF(AND(MONTH(AR6)=$G$33,YEAR(AR6)=$H$33),$D$33,"")</f>
      </c>
      <c r="AS33" s="432"/>
      <c r="AT33" s="443">
        <f>D33-SUM(I33:AR33)</f>
        <v>0</v>
      </c>
    </row>
    <row r="34" s="417" customFormat="1" ht="16" customHeight="1">
      <c r="A34" t="s" s="437">
        <v>595</v>
      </c>
      <c r="B34" s="454">
        <v>0</v>
      </c>
      <c r="C34" s="455"/>
      <c r="D34" s="453">
        <f>SUM(B34:C34)</f>
        <v>0</v>
      </c>
      <c r="E34" s="455"/>
      <c r="F34" s="439"/>
      <c r="G34" s="440">
        <f>MONTH((DATE(1899,12,31)+(0*7+IF(F34&gt;60,F34-1,F34))))</f>
        <v>12</v>
      </c>
      <c r="H34" s="441">
        <f>YEAR((DATE(1899,12,31)+(0*7+IF(F34&gt;60,F34-1,F34))))</f>
        <v>1899</v>
      </c>
      <c r="I34" t="s" s="442">
        <f>IF(AND(MONTH(I6)=$G$34,YEAR(I6)=$H$34),$D$34,"")</f>
      </c>
      <c r="J34" t="s" s="442">
        <f>IF(AND(MONTH(J6)=$G$34,YEAR(J6)=$H$34),$D$34,"")</f>
      </c>
      <c r="K34" t="s" s="442">
        <f>IF(AND(MONTH(K6)=$G$34,YEAR(K6)=$H$34),$D$34,"")</f>
      </c>
      <c r="L34" t="s" s="442">
        <f>IF(AND(MONTH(L6)=$G$34,YEAR(L6)=$H$34),$D$34,"")</f>
      </c>
      <c r="M34" t="s" s="442">
        <f>IF(AND(MONTH(M6)=$G$34,YEAR(M6)=$H$34),$D$34,"")</f>
      </c>
      <c r="N34" t="s" s="442">
        <f>IF(AND(MONTH(N6)=$G$34,YEAR(N6)=$H$34),$D$34,"")</f>
      </c>
      <c r="O34" t="s" s="442">
        <f>IF(AND(MONTH(O6)=$G$34,YEAR(O6)=$H$34),$D$34,"")</f>
      </c>
      <c r="P34" t="s" s="442">
        <f>IF(AND(MONTH(P6)=$G$34,YEAR(P6)=$H$34),$D$34,"")</f>
      </c>
      <c r="Q34" t="s" s="442">
        <f>IF(AND(MONTH(Q6)=$G$34,YEAR(Q6)=$H$34),$D$34,"")</f>
      </c>
      <c r="R34" t="s" s="442">
        <f>IF(AND(MONTH(R6)=$G$34,YEAR(R6)=$H$34),$D$34,"")</f>
      </c>
      <c r="S34" t="s" s="442">
        <f>IF(AND(MONTH(S6)=$G$34,YEAR(S6)=$H$34),$D$34,"")</f>
      </c>
      <c r="T34" t="s" s="442">
        <f>IF(AND(MONTH(T6)=$G$34,YEAR(T6)=$H$34),$D$34,"")</f>
      </c>
      <c r="U34" t="s" s="442">
        <f>IF(AND(MONTH(U6)=$G$34,YEAR(U6)=$H$34),$D$34,"")</f>
      </c>
      <c r="V34" t="s" s="442">
        <f>IF(AND(MONTH(V6)=$G$34,YEAR(V6)=$H$34),$D$34,"")</f>
      </c>
      <c r="W34" t="s" s="442">
        <f>IF(AND(MONTH(W6)=$G$34,YEAR(W6)=$H$34),$D$34,"")</f>
      </c>
      <c r="X34" t="s" s="442">
        <f>IF(AND(MONTH(X6)=$G$34,YEAR(X6)=$H$34),$D$34,"")</f>
      </c>
      <c r="Y34" t="s" s="442">
        <f>IF(AND(MONTH(Y6)=$G$34,YEAR(Y6)=$H$34),$D$34,"")</f>
      </c>
      <c r="Z34" t="s" s="442">
        <f>IF(AND(MONTH(Z6)=$G$34,YEAR(Z6)=$H$34),$D$34,"")</f>
      </c>
      <c r="AA34" t="s" s="442">
        <f>IF(AND(MONTH(AA6)=$G$34,YEAR(AA6)=$H$34),$D$34,"")</f>
      </c>
      <c r="AB34" t="s" s="442">
        <f>IF(AND(MONTH(AB6)=$G$34,YEAR(AB6)=$H$34),$D$34,"")</f>
      </c>
      <c r="AC34" t="s" s="442">
        <f>IF(AND(MONTH(AC6)=$G$34,YEAR(AC6)=$H$34),$D$34,"")</f>
      </c>
      <c r="AD34" t="s" s="442">
        <f>IF(AND(MONTH(AD6)=$G$34,YEAR(AD6)=$H$34),$D$34,"")</f>
      </c>
      <c r="AE34" t="s" s="442">
        <f>IF(AND(MONTH(AE6)=$G$34,YEAR(AE6)=$H$34),$D$34,"")</f>
      </c>
      <c r="AF34" t="s" s="442">
        <f>IF(AND(MONTH(AF6)=$G$34,YEAR(AF6)=$H$34),$D$34,"")</f>
      </c>
      <c r="AG34" t="s" s="442">
        <f>IF(AND(MONTH(AG6)=$G$34,YEAR(AG6)=$H$34),$D$34,"")</f>
      </c>
      <c r="AH34" t="s" s="442">
        <f>IF(AND(MONTH(AH6)=$G$34,YEAR(AH6)=$H$34),$D$34,"")</f>
      </c>
      <c r="AI34" t="s" s="442">
        <f>IF(AND(MONTH(AI6)=$G$34,YEAR(AI6)=$H$34),$D$34,"")</f>
      </c>
      <c r="AJ34" t="s" s="442">
        <f>IF(AND(MONTH(AJ6)=$G$34,YEAR(AJ6)=$H$34),$D$34,"")</f>
      </c>
      <c r="AK34" t="s" s="442">
        <f>IF(AND(MONTH(AK6)=$G$34,YEAR(AK6)=$H$34),$D$34,"")</f>
      </c>
      <c r="AL34" t="s" s="442">
        <f>IF(AND(MONTH(AL6)=$G$34,YEAR(AL6)=$H$34),$D$34,"")</f>
      </c>
      <c r="AM34" t="s" s="442">
        <f>IF(AND(MONTH(AM6)=$G$34,YEAR(AM6)=$H$34),$D$34,"")</f>
      </c>
      <c r="AN34" t="s" s="442">
        <f>IF(AND(MONTH(AN6)=$G$34,YEAR(AN6)=$H$34),$D$34,"")</f>
      </c>
      <c r="AO34" t="s" s="442">
        <f>IF(AND(MONTH(AO6)=$G$34,YEAR(AO6)=$H$34),$D$34,"")</f>
      </c>
      <c r="AP34" t="s" s="442">
        <f>IF(AND(MONTH(AP6)=$G$34,YEAR(AP6)=$H$34),$D$34,"")</f>
      </c>
      <c r="AQ34" t="s" s="442">
        <f>IF(AND(MONTH(AQ6)=$G$34,YEAR(AQ6)=$H$34),$D$34,"")</f>
      </c>
      <c r="AR34" t="s" s="442">
        <f>IF(AND(MONTH(AR6)=$G$34,YEAR(AR6)=$H$34),$D$34,"")</f>
      </c>
      <c r="AT34" s="443">
        <f>D34-SUM(I34:AR34)</f>
        <v>0</v>
      </c>
    </row>
    <row r="35" s="417" customFormat="1" ht="15" customHeight="1">
      <c r="A35" t="s" s="437">
        <v>595</v>
      </c>
      <c r="B35" s="454">
        <v>0</v>
      </c>
      <c r="C35" s="451"/>
      <c r="D35" s="453">
        <f>SUM(B35:C35)</f>
        <v>0</v>
      </c>
      <c r="E35" s="452"/>
      <c r="F35" s="439"/>
      <c r="G35" s="440">
        <v>1</v>
      </c>
      <c r="H35" s="441">
        <f>YEAR((DATE(1899,12,31)+(0*7+IF(F35&gt;60,F35-1,F35))))</f>
        <v>1899</v>
      </c>
      <c r="I35" t="s" s="442">
        <f>IF(AND(MONTH(I6)=$G$35,YEAR(I6)=$H$35),$D$35,"")</f>
      </c>
      <c r="J35" t="s" s="442">
        <f>IF(AND(MONTH(J6)=$G$35,YEAR(J6)=$H$35),$D$35,"")</f>
      </c>
      <c r="K35" t="s" s="442">
        <f>IF(AND(MONTH(K6)=$G$35,YEAR(K6)=$H$35),$D$35,"")</f>
      </c>
      <c r="L35" t="s" s="442">
        <f>IF(AND(MONTH(L6)=$G$35,YEAR(L6)=$H$35),$D$35,"")</f>
      </c>
      <c r="M35" t="s" s="442">
        <f>IF(AND(MONTH(M6)=$G$35,YEAR(M6)=$H$35),$D$35,"")</f>
      </c>
      <c r="N35" t="s" s="442">
        <f>IF(AND(MONTH(N6)=$G$35,YEAR(N6)=$H$35),$D$35,"")</f>
      </c>
      <c r="O35" t="s" s="442">
        <f>IF(AND(MONTH(O6)=$G$35,YEAR(O6)=$H$35),$D$35,"")</f>
      </c>
      <c r="P35" t="s" s="442">
        <f>IF(AND(MONTH(P6)=$G$35,YEAR(P6)=$H$35),$D$35,"")</f>
      </c>
      <c r="Q35" t="s" s="442">
        <f>IF(AND(MONTH(Q6)=$G$35,YEAR(Q6)=$H$35),$D$35,"")</f>
      </c>
      <c r="R35" t="s" s="442">
        <f>IF(AND(MONTH(R6)=$G$35,YEAR(R6)=$H$35),$D$35,"")</f>
      </c>
      <c r="S35" t="s" s="442">
        <f>IF(AND(MONTH(S6)=$G$35,YEAR(S6)=$H$35),$D$35,"")</f>
      </c>
      <c r="T35" t="s" s="442">
        <f>IF(AND(MONTH(T6)=$G$35,YEAR(T6)=$H$35),$D$35,"")</f>
      </c>
      <c r="U35" t="s" s="442">
        <f>IF(AND(MONTH(U6)=$G$35,YEAR(U6)=$H$35),$D$35,"")</f>
      </c>
      <c r="V35" t="s" s="442">
        <f>IF(AND(MONTH(V6)=$G$35,YEAR(V6)=$H$35),$D$35,"")</f>
      </c>
      <c r="W35" t="s" s="442">
        <f>IF(AND(MONTH(W6)=$G$35,YEAR(W6)=$H$35),$D$35,"")</f>
      </c>
      <c r="X35" t="s" s="442">
        <f>IF(AND(MONTH(X6)=$G$35,YEAR(X6)=$H$35),$D$35,"")</f>
      </c>
      <c r="Y35" t="s" s="442">
        <f>IF(AND(MONTH(Y6)=$G$35,YEAR(Y6)=$H$35),$D$35,"")</f>
      </c>
      <c r="Z35" t="s" s="442">
        <f>IF(AND(MONTH(Z6)=$G$35,YEAR(Z6)=$H$35),$D$35,"")</f>
      </c>
      <c r="AA35" t="s" s="442">
        <f>IF(AND(MONTH(AA6)=$G$35,YEAR(AA6)=$H$35),$D$35,"")</f>
      </c>
      <c r="AB35" t="s" s="442">
        <f>IF(AND(MONTH(AB6)=$G$35,YEAR(AB6)=$H$35),$D$35,"")</f>
      </c>
      <c r="AC35" t="s" s="442">
        <f>IF(AND(MONTH(AC6)=$G$35,YEAR(AC6)=$H$35),$D$35,"")</f>
      </c>
      <c r="AD35" t="s" s="442">
        <f>IF(AND(MONTH(AD6)=$G$35,YEAR(AD6)=$H$35),$D$35,"")</f>
      </c>
      <c r="AE35" t="s" s="442">
        <f>IF(AND(MONTH(AE6)=$G$35,YEAR(AE6)=$H$35),$D$35,"")</f>
      </c>
      <c r="AF35" t="s" s="442">
        <f>IF(AND(MONTH(AF6)=$G$35,YEAR(AF6)=$H$35),$D$35,"")</f>
      </c>
      <c r="AG35" t="s" s="442">
        <f>IF(AND(MONTH(AG6)=$G$35,YEAR(AG6)=$H$35),$D$35,"")</f>
      </c>
      <c r="AH35" t="s" s="442">
        <f>IF(AND(MONTH(AH6)=$G$35,YEAR(AH6)=$H$35),$D$35,"")</f>
      </c>
      <c r="AI35" t="s" s="442">
        <f>IF(AND(MONTH(AI6)=$G$35,YEAR(AI6)=$H$35),$D$35,"")</f>
      </c>
      <c r="AJ35" t="s" s="442">
        <f>IF(AND(MONTH(AJ6)=$G$35,YEAR(AJ6)=$H$35),$D$35,"")</f>
      </c>
      <c r="AK35" t="s" s="442">
        <f>IF(AND(MONTH(AK6)=$G$35,YEAR(AK6)=$H$35),$D$35,"")</f>
      </c>
      <c r="AL35" t="s" s="442">
        <f>IF(AND(MONTH(AL6)=$G$35,YEAR(AL6)=$H$35),$D$35,"")</f>
      </c>
      <c r="AM35" t="s" s="442">
        <f>IF(AND(MONTH(AM6)=$G$35,YEAR(AM6)=$H$35),$D$35,"")</f>
      </c>
      <c r="AN35" t="s" s="442">
        <f>IF(AND(MONTH(AN6)=$G$35,YEAR(AN6)=$H$35),$D$35,"")</f>
      </c>
      <c r="AO35" t="s" s="442">
        <f>IF(AND(MONTH(AO6)=$G$35,YEAR(AO6)=$H$35),$D$35,"")</f>
      </c>
      <c r="AP35" t="s" s="442">
        <f>IF(AND(MONTH(AP6)=$G$35,YEAR(AP6)=$H$35),$D$35,"")</f>
      </c>
      <c r="AQ35" t="s" s="442">
        <f>IF(AND(MONTH(AQ6)=$G$35,YEAR(AQ6)=$H$35),$D$35,"")</f>
      </c>
      <c r="AR35" t="s" s="442">
        <f>IF(AND(MONTH(AR6)=$G$35,YEAR(AR6)=$H$35),$D$35,"")</f>
      </c>
      <c r="AS35" s="432"/>
      <c r="AT35" s="443">
        <f>D35-SUM(I35:AR35)</f>
        <v>0</v>
      </c>
    </row>
    <row r="36" s="417" customFormat="1" ht="15" customHeight="1">
      <c r="A36" t="s" s="437">
        <v>595</v>
      </c>
      <c r="B36" s="454">
        <v>0</v>
      </c>
      <c r="C36" s="451"/>
      <c r="D36" s="453">
        <f>SUM(B36:C36)</f>
        <v>0</v>
      </c>
      <c r="E36" s="452"/>
      <c r="F36" s="439"/>
      <c r="G36" s="440">
        <v>1</v>
      </c>
      <c r="H36" s="441">
        <f>YEAR((DATE(1899,12,31)+(0*7+IF(F36&gt;60,F36-1,F36))))</f>
        <v>1899</v>
      </c>
      <c r="I36" t="s" s="442">
        <f>IF(AND(MONTH(I6)=$G$36,YEAR(I6)=$H$36),$D$36,"")</f>
      </c>
      <c r="J36" t="s" s="442">
        <f>IF(AND(MONTH(J6)=$G$36,YEAR(J6)=$H$36),$D$36,"")</f>
      </c>
      <c r="K36" t="s" s="442">
        <f>IF(AND(MONTH(K6)=$G$36,YEAR(K6)=$H$36),$D$36,"")</f>
      </c>
      <c r="L36" t="s" s="442">
        <f>IF(AND(MONTH(L6)=$G$36,YEAR(L6)=$H$36),$D$36,"")</f>
      </c>
      <c r="M36" t="s" s="442">
        <f>IF(AND(MONTH(M6)=$G$36,YEAR(M6)=$H$36),$D$36,"")</f>
      </c>
      <c r="N36" t="s" s="442">
        <f>IF(AND(MONTH(N6)=$G$36,YEAR(N6)=$H$36),$D$36,"")</f>
      </c>
      <c r="O36" t="s" s="442">
        <f>IF(AND(MONTH(O6)=$G$36,YEAR(O6)=$H$36),$D$36,"")</f>
      </c>
      <c r="P36" t="s" s="442">
        <f>IF(AND(MONTH(P6)=$G$36,YEAR(P6)=$H$36),$D$36,"")</f>
      </c>
      <c r="Q36" t="s" s="442">
        <f>IF(AND(MONTH(Q6)=$G$36,YEAR(Q6)=$H$36),$D$36,"")</f>
      </c>
      <c r="R36" t="s" s="442">
        <f>IF(AND(MONTH(R6)=$G$36,YEAR(R6)=$H$36),$D$36,"")</f>
      </c>
      <c r="S36" t="s" s="442">
        <f>IF(AND(MONTH(S6)=$G$36,YEAR(S6)=$H$36),$D$36,"")</f>
      </c>
      <c r="T36" t="s" s="442">
        <f>IF(AND(MONTH(T6)=$G$36,YEAR(T6)=$H$36),$D$36,"")</f>
      </c>
      <c r="U36" t="s" s="442">
        <f>IF(AND(MONTH(U6)=$G$36,YEAR(U6)=$H$36),$D$36,"")</f>
      </c>
      <c r="V36" t="s" s="442">
        <f>IF(AND(MONTH(V6)=$G$36,YEAR(V6)=$H$36),$D$36,"")</f>
      </c>
      <c r="W36" t="s" s="442">
        <f>IF(AND(MONTH(W6)=$G$36,YEAR(W6)=$H$36),$D$36,"")</f>
      </c>
      <c r="X36" t="s" s="442">
        <f>IF(AND(MONTH(X6)=$G$36,YEAR(X6)=$H$36),$D$36,"")</f>
      </c>
      <c r="Y36" t="s" s="442">
        <f>IF(AND(MONTH(Y6)=$G$36,YEAR(Y6)=$H$36),$D$36,"")</f>
      </c>
      <c r="Z36" t="s" s="442">
        <f>IF(AND(MONTH(Z6)=$G$36,YEAR(Z6)=$H$36),$D$36,"")</f>
      </c>
      <c r="AA36" t="s" s="442">
        <f>IF(AND(MONTH(AA6)=$G$36,YEAR(AA6)=$H$36),$D$36,"")</f>
      </c>
      <c r="AB36" t="s" s="442">
        <f>IF(AND(MONTH(AB6)=$G$36,YEAR(AB6)=$H$36),$D$36,"")</f>
      </c>
      <c r="AC36" t="s" s="442">
        <f>IF(AND(MONTH(AC6)=$G$36,YEAR(AC6)=$H$36),$D$36,"")</f>
      </c>
      <c r="AD36" t="s" s="442">
        <f>IF(AND(MONTH(AD6)=$G$36,YEAR(AD6)=$H$36),$D$36,"")</f>
      </c>
      <c r="AE36" t="s" s="442">
        <f>IF(AND(MONTH(AE6)=$G$36,YEAR(AE6)=$H$36),$D$36,"")</f>
      </c>
      <c r="AF36" t="s" s="442">
        <f>IF(AND(MONTH(AF6)=$G$36,YEAR(AF6)=$H$36),$D$36,"")</f>
      </c>
      <c r="AG36" t="s" s="442">
        <f>IF(AND(MONTH(AG6)=$G$36,YEAR(AG6)=$H$36),$D$36,"")</f>
      </c>
      <c r="AH36" t="s" s="442">
        <f>IF(AND(MONTH(AH6)=$G$36,YEAR(AH6)=$H$36),$D$36,"")</f>
      </c>
      <c r="AI36" t="s" s="442">
        <f>IF(AND(MONTH(AI6)=$G$36,YEAR(AI6)=$H$36),$D$36,"")</f>
      </c>
      <c r="AJ36" t="s" s="442">
        <f>IF(AND(MONTH(AJ6)=$G$36,YEAR(AJ6)=$H$36),$D$36,"")</f>
      </c>
      <c r="AK36" t="s" s="442">
        <f>IF(AND(MONTH(AK6)=$G$36,YEAR(AK6)=$H$36),$D$36,"")</f>
      </c>
      <c r="AL36" t="s" s="442">
        <f>IF(AND(MONTH(AL6)=$G$36,YEAR(AL6)=$H$36),$D$36,"")</f>
      </c>
      <c r="AM36" t="s" s="442">
        <f>IF(AND(MONTH(AM6)=$G$36,YEAR(AM6)=$H$36),$D$36,"")</f>
      </c>
      <c r="AN36" t="s" s="442">
        <f>IF(AND(MONTH(AN6)=$G$36,YEAR(AN6)=$H$36),$D$36,"")</f>
      </c>
      <c r="AO36" t="s" s="442">
        <f>IF(AND(MONTH(AO6)=$G$36,YEAR(AO6)=$H$36),$D$36,"")</f>
      </c>
      <c r="AP36" t="s" s="442">
        <f>IF(AND(MONTH(AP6)=$G$36,YEAR(AP6)=$H$36),$D$36,"")</f>
      </c>
      <c r="AQ36" t="s" s="442">
        <f>IF(AND(MONTH(AQ6)=$G$36,YEAR(AQ6)=$H$36),$D$36,"")</f>
      </c>
      <c r="AR36" t="s" s="442">
        <f>IF(AND(MONTH(AR6)=$G$36,YEAR(AR6)=$H$36),$D$36,"")</f>
      </c>
      <c r="AS36" s="432"/>
      <c r="AT36" s="443">
        <f>D36-SUM(I36:AR36)</f>
        <v>0</v>
      </c>
    </row>
    <row r="37" s="417" customFormat="1" ht="15" customHeight="1">
      <c r="A37" t="s" s="437">
        <v>595</v>
      </c>
      <c r="B37" s="454">
        <v>0</v>
      </c>
      <c r="C37" s="451"/>
      <c r="D37" s="453">
        <f>SUM(B37:C37)</f>
        <v>0</v>
      </c>
      <c r="E37" s="452"/>
      <c r="F37" s="439"/>
      <c r="G37" s="440">
        <v>1</v>
      </c>
      <c r="H37" s="441">
        <f>YEAR((DATE(1899,12,31)+(0*7+IF(F37&gt;60,F37-1,F37))))</f>
        <v>1899</v>
      </c>
      <c r="I37" t="s" s="442">
        <f>IF(AND(MONTH(I6)=$G$37,YEAR(I6)=$H$37),$D$37,"")</f>
      </c>
      <c r="J37" t="s" s="442">
        <f>IF(AND(MONTH(J6)=$G$37,YEAR(J6)=$H$37),$D$37,"")</f>
      </c>
      <c r="K37" t="s" s="442">
        <f>IF(AND(MONTH(K6)=$G$37,YEAR(K6)=$H$37),$D$37,"")</f>
      </c>
      <c r="L37" t="s" s="442">
        <f>IF(AND(MONTH(L6)=$G$37,YEAR(L6)=$H$37),$D$37,"")</f>
      </c>
      <c r="M37" t="s" s="442">
        <f>IF(AND(MONTH(M6)=$G$37,YEAR(M6)=$H$37),$D$37,"")</f>
      </c>
      <c r="N37" t="s" s="442">
        <f>IF(AND(MONTH(N6)=$G$37,YEAR(N6)=$H$37),$D$37,"")</f>
      </c>
      <c r="O37" t="s" s="442">
        <f>IF(AND(MONTH(O6)=$G$37,YEAR(O6)=$H$37),$D$37,"")</f>
      </c>
      <c r="P37" t="s" s="442">
        <f>IF(AND(MONTH(P6)=$G$37,YEAR(P6)=$H$37),$D$37,"")</f>
      </c>
      <c r="Q37" t="s" s="442">
        <f>IF(AND(MONTH(Q6)=$G$37,YEAR(Q6)=$H$37),$D$37,"")</f>
      </c>
      <c r="R37" t="s" s="442">
        <f>IF(AND(MONTH(R6)=$G$37,YEAR(R6)=$H$37),$D$37,"")</f>
      </c>
      <c r="S37" t="s" s="442">
        <f>IF(AND(MONTH(S6)=$G$37,YEAR(S6)=$H$37),$D$37,"")</f>
      </c>
      <c r="T37" t="s" s="442">
        <f>IF(AND(MONTH(T6)=$G$37,YEAR(T6)=$H$37),$D$37,"")</f>
      </c>
      <c r="U37" t="s" s="442">
        <f>IF(AND(MONTH(U6)=$G$37,YEAR(U6)=$H$37),$D$37,"")</f>
      </c>
      <c r="V37" t="s" s="442">
        <f>IF(AND(MONTH(V6)=$G$37,YEAR(V6)=$H$37),$D$37,"")</f>
      </c>
      <c r="W37" t="s" s="442">
        <f>IF(AND(MONTH(W6)=$G$37,YEAR(W6)=$H$37),$D$37,"")</f>
      </c>
      <c r="X37" t="s" s="442">
        <f>IF(AND(MONTH(X6)=$G$37,YEAR(X6)=$H$37),$D$37,"")</f>
      </c>
      <c r="Y37" t="s" s="442">
        <f>IF(AND(MONTH(Y6)=$G$37,YEAR(Y6)=$H$37),$D$37,"")</f>
      </c>
      <c r="Z37" t="s" s="442">
        <f>IF(AND(MONTH(Z6)=$G$37,YEAR(Z6)=$H$37),$D$37,"")</f>
      </c>
      <c r="AA37" t="s" s="442">
        <f>IF(AND(MONTH(AA6)=$G$37,YEAR(AA6)=$H$37),$D$37,"")</f>
      </c>
      <c r="AB37" t="s" s="442">
        <f>IF(AND(MONTH(AB6)=$G$37,YEAR(AB6)=$H$37),$D$37,"")</f>
      </c>
      <c r="AC37" t="s" s="442">
        <f>IF(AND(MONTH(AC6)=$G$37,YEAR(AC6)=$H$37),$D$37,"")</f>
      </c>
      <c r="AD37" t="s" s="442">
        <f>IF(AND(MONTH(AD6)=$G$37,YEAR(AD6)=$H$37),$D$37,"")</f>
      </c>
      <c r="AE37" t="s" s="442">
        <f>IF(AND(MONTH(AE6)=$G$37,YEAR(AE6)=$H$37),$D$37,"")</f>
      </c>
      <c r="AF37" t="s" s="442">
        <f>IF(AND(MONTH(AF6)=$G$37,YEAR(AF6)=$H$37),$D$37,"")</f>
      </c>
      <c r="AG37" t="s" s="442">
        <f>IF(AND(MONTH(AG6)=$G$37,YEAR(AG6)=$H$37),$D$37,"")</f>
      </c>
      <c r="AH37" t="s" s="442">
        <f>IF(AND(MONTH(AH6)=$G$37,YEAR(AH6)=$H$37),$D$37,"")</f>
      </c>
      <c r="AI37" t="s" s="442">
        <f>IF(AND(MONTH(AI6)=$G$37,YEAR(AI6)=$H$37),$D$37,"")</f>
      </c>
      <c r="AJ37" t="s" s="442">
        <f>IF(AND(MONTH(AJ6)=$G$37,YEAR(AJ6)=$H$37),$D$37,"")</f>
      </c>
      <c r="AK37" t="s" s="442">
        <f>IF(AND(MONTH(AK6)=$G$37,YEAR(AK6)=$H$37),$D$37,"")</f>
      </c>
      <c r="AL37" t="s" s="442">
        <f>IF(AND(MONTH(AL6)=$G$37,YEAR(AL6)=$H$37),$D$37,"")</f>
      </c>
      <c r="AM37" t="s" s="442">
        <f>IF(AND(MONTH(AM6)=$G$37,YEAR(AM6)=$H$37),$D$37,"")</f>
      </c>
      <c r="AN37" t="s" s="442">
        <f>IF(AND(MONTH(AN6)=$G$37,YEAR(AN6)=$H$37),$D$37,"")</f>
      </c>
      <c r="AO37" t="s" s="442">
        <f>IF(AND(MONTH(AO6)=$G$37,YEAR(AO6)=$H$37),$D$37,"")</f>
      </c>
      <c r="AP37" t="s" s="442">
        <f>IF(AND(MONTH(AP6)=$G$37,YEAR(AP6)=$H$37),$D$37,"")</f>
      </c>
      <c r="AQ37" t="s" s="442">
        <f>IF(AND(MONTH(AQ6)=$G$37,YEAR(AQ6)=$H$37),$D$37,"")</f>
      </c>
      <c r="AR37" t="s" s="442">
        <f>IF(AND(MONTH(AR6)=$G$37,YEAR(AR6)=$H$37),$D$37,"")</f>
      </c>
      <c r="AS37" s="432"/>
      <c r="AT37" s="443">
        <f>D37-SUM(I37:AR37)</f>
        <v>0</v>
      </c>
    </row>
    <row r="38" s="417" customFormat="1" ht="15" customHeight="1">
      <c r="A38" t="s" s="437">
        <v>595</v>
      </c>
      <c r="B38" s="454">
        <v>0</v>
      </c>
      <c r="C38" s="451"/>
      <c r="D38" s="453">
        <f>SUM(B38:C38)</f>
        <v>0</v>
      </c>
      <c r="E38" s="452"/>
      <c r="F38" s="439"/>
      <c r="G38" s="440">
        <v>1</v>
      </c>
      <c r="H38" s="441">
        <f>YEAR((DATE(1899,12,31)+(0*7+IF(F38&gt;60,F38-1,F38))))</f>
        <v>1899</v>
      </c>
      <c r="I38" t="s" s="442">
        <f>IF(AND(MONTH(I6)=$G$38,YEAR(I6)=$H$38),$D$38,"")</f>
      </c>
      <c r="J38" t="s" s="442">
        <f>IF(AND(MONTH(J6)=$G$38,YEAR(J6)=$H$38),$D$38,"")</f>
      </c>
      <c r="K38" t="s" s="442">
        <f>IF(AND(MONTH(K6)=$G$38,YEAR(K6)=$H$38),$D$38,"")</f>
      </c>
      <c r="L38" t="s" s="442">
        <f>IF(AND(MONTH(L6)=$G$38,YEAR(L6)=$H$38),$D$38,"")</f>
      </c>
      <c r="M38" t="s" s="442">
        <f>IF(AND(MONTH(M6)=$G$38,YEAR(M6)=$H$38),$D$38,"")</f>
      </c>
      <c r="N38" t="s" s="442">
        <f>IF(AND(MONTH(N6)=$G$38,YEAR(N6)=$H$38),$D$38,"")</f>
      </c>
      <c r="O38" t="s" s="442">
        <f>IF(AND(MONTH(O6)=$G$38,YEAR(O6)=$H$38),$D$38,"")</f>
      </c>
      <c r="P38" t="s" s="442">
        <f>IF(AND(MONTH(P6)=$G$38,YEAR(P6)=$H$38),$D$38,"")</f>
      </c>
      <c r="Q38" t="s" s="442">
        <f>IF(AND(MONTH(Q6)=$G$38,YEAR(Q6)=$H$38),$D$38,"")</f>
      </c>
      <c r="R38" t="s" s="442">
        <f>IF(AND(MONTH(R6)=$G$38,YEAR(R6)=$H$38),$D$38,"")</f>
      </c>
      <c r="S38" t="s" s="442">
        <f>IF(AND(MONTH(S6)=$G$38,YEAR(S6)=$H$38),$D$38,"")</f>
      </c>
      <c r="T38" t="s" s="442">
        <f>IF(AND(MONTH(T6)=$G$38,YEAR(T6)=$H$38),$D$38,"")</f>
      </c>
      <c r="U38" t="s" s="442">
        <f>IF(AND(MONTH(U6)=$G$38,YEAR(U6)=$H$38),$D$38,"")</f>
      </c>
      <c r="V38" t="s" s="442">
        <f>IF(AND(MONTH(V6)=$G$38,YEAR(V6)=$H$38),$D$38,"")</f>
      </c>
      <c r="W38" t="s" s="442">
        <f>IF(AND(MONTH(W6)=$G$38,YEAR(W6)=$H$38),$D$38,"")</f>
      </c>
      <c r="X38" t="s" s="442">
        <f>IF(AND(MONTH(X6)=$G$38,YEAR(X6)=$H$38),$D$38,"")</f>
      </c>
      <c r="Y38" t="s" s="442">
        <f>IF(AND(MONTH(Y6)=$G$38,YEAR(Y6)=$H$38),$D$38,"")</f>
      </c>
      <c r="Z38" t="s" s="442">
        <f>IF(AND(MONTH(Z6)=$G$38,YEAR(Z6)=$H$38),$D$38,"")</f>
      </c>
      <c r="AA38" t="s" s="442">
        <f>IF(AND(MONTH(AA6)=$G$38,YEAR(AA6)=$H$38),$D$38,"")</f>
      </c>
      <c r="AB38" t="s" s="442">
        <f>IF(AND(MONTH(AB6)=$G$38,YEAR(AB6)=$H$38),$D$38,"")</f>
      </c>
      <c r="AC38" t="s" s="442">
        <f>IF(AND(MONTH(AC6)=$G$38,YEAR(AC6)=$H$38),$D$38,"")</f>
      </c>
      <c r="AD38" t="s" s="442">
        <f>IF(AND(MONTH(AD6)=$G$38,YEAR(AD6)=$H$38),$D$38,"")</f>
      </c>
      <c r="AE38" t="s" s="442">
        <f>IF(AND(MONTH(AE6)=$G$38,YEAR(AE6)=$H$38),$D$38,"")</f>
      </c>
      <c r="AF38" t="s" s="442">
        <f>IF(AND(MONTH(AF6)=$G$38,YEAR(AF6)=$H$38),$D$38,"")</f>
      </c>
      <c r="AG38" t="s" s="442">
        <f>IF(AND(MONTH(AG6)=$G$38,YEAR(AG6)=$H$38),$D$38,"")</f>
      </c>
      <c r="AH38" t="s" s="442">
        <f>IF(AND(MONTH(AH6)=$G$38,YEAR(AH6)=$H$38),$D$38,"")</f>
      </c>
      <c r="AI38" t="s" s="442">
        <f>IF(AND(MONTH(AI6)=$G$38,YEAR(AI6)=$H$38),$D$38,"")</f>
      </c>
      <c r="AJ38" t="s" s="442">
        <f>IF(AND(MONTH(AJ6)=$G$38,YEAR(AJ6)=$H$38),$D$38,"")</f>
      </c>
      <c r="AK38" t="s" s="442">
        <f>IF(AND(MONTH(AK6)=$G$38,YEAR(AK6)=$H$38),$D$38,"")</f>
      </c>
      <c r="AL38" t="s" s="442">
        <f>IF(AND(MONTH(AL6)=$G$38,YEAR(AL6)=$H$38),$D$38,"")</f>
      </c>
      <c r="AM38" t="s" s="442">
        <f>IF(AND(MONTH(AM6)=$G$38,YEAR(AM6)=$H$38),$D$38,"")</f>
      </c>
      <c r="AN38" t="s" s="442">
        <f>IF(AND(MONTH(AN6)=$G$38,YEAR(AN6)=$H$38),$D$38,"")</f>
      </c>
      <c r="AO38" t="s" s="442">
        <f>IF(AND(MONTH(AO6)=$G$38,YEAR(AO6)=$H$38),$D$38,"")</f>
      </c>
      <c r="AP38" t="s" s="442">
        <f>IF(AND(MONTH(AP6)=$G$38,YEAR(AP6)=$H$38),$D$38,"")</f>
      </c>
      <c r="AQ38" t="s" s="442">
        <f>IF(AND(MONTH(AQ6)=$G$38,YEAR(AQ6)=$H$38),$D$38,"")</f>
      </c>
      <c r="AR38" t="s" s="442">
        <f>IF(AND(MONTH(AR6)=$G$38,YEAR(AR6)=$H$38),$D$38,"")</f>
      </c>
      <c r="AS38" s="432"/>
      <c r="AT38" s="443">
        <f>D38-SUM(I38:AR38)</f>
        <v>0</v>
      </c>
    </row>
    <row r="39" s="417" customFormat="1" ht="15" customHeight="1">
      <c r="A39" t="s" s="437">
        <v>595</v>
      </c>
      <c r="B39" s="454">
        <v>0</v>
      </c>
      <c r="C39" s="451"/>
      <c r="D39" s="453">
        <f>SUM(B39:C39)</f>
        <v>0</v>
      </c>
      <c r="E39" s="452"/>
      <c r="F39" s="439"/>
      <c r="G39" s="440">
        <v>1</v>
      </c>
      <c r="H39" s="441">
        <f>YEAR((DATE(1899,12,31)+(0*7+IF(F39&gt;60,F39-1,F39))))</f>
        <v>1899</v>
      </c>
      <c r="I39" t="s" s="442">
        <f>IF(AND(MONTH(I6)=$G$39,YEAR(I6)=$H$39),$D$39,"")</f>
      </c>
      <c r="J39" t="s" s="442">
        <f>IF(AND(MONTH(J6)=$G$39,YEAR(J6)=$H$39),$D$39,"")</f>
      </c>
      <c r="K39" t="s" s="442">
        <f>IF(AND(MONTH(K6)=$G$39,YEAR(K6)=$H$39),$D$39,"")</f>
      </c>
      <c r="L39" t="s" s="442">
        <f>IF(AND(MONTH(L6)=$G$39,YEAR(L6)=$H$39),$D$39,"")</f>
      </c>
      <c r="M39" t="s" s="442">
        <f>IF(AND(MONTH(M6)=$G$39,YEAR(M6)=$H$39),$D$39,"")</f>
      </c>
      <c r="N39" t="s" s="442">
        <f>IF(AND(MONTH(N6)=$G$39,YEAR(N6)=$H$39),$D$39,"")</f>
      </c>
      <c r="O39" t="s" s="442">
        <f>IF(AND(MONTH(O6)=$G$39,YEAR(O6)=$H$39),$D$39,"")</f>
      </c>
      <c r="P39" t="s" s="442">
        <f>IF(AND(MONTH(P6)=$G$39,YEAR(P6)=$H$39),$D$39,"")</f>
      </c>
      <c r="Q39" t="s" s="442">
        <f>IF(AND(MONTH(Q6)=$G$39,YEAR(Q6)=$H$39),$D$39,"")</f>
      </c>
      <c r="R39" t="s" s="442">
        <f>IF(AND(MONTH(R6)=$G$39,YEAR(R6)=$H$39),$D$39,"")</f>
      </c>
      <c r="S39" t="s" s="442">
        <f>IF(AND(MONTH(S6)=$G$39,YEAR(S6)=$H$39),$D$39,"")</f>
      </c>
      <c r="T39" t="s" s="442">
        <f>IF(AND(MONTH(T6)=$G$39,YEAR(T6)=$H$39),$D$39,"")</f>
      </c>
      <c r="U39" t="s" s="442">
        <f>IF(AND(MONTH(U6)=$G$39,YEAR(U6)=$H$39),$D$39,"")</f>
      </c>
      <c r="V39" t="s" s="442">
        <f>IF(AND(MONTH(V6)=$G$39,YEAR(V6)=$H$39),$D$39,"")</f>
      </c>
      <c r="W39" t="s" s="442">
        <f>IF(AND(MONTH(W6)=$G$39,YEAR(W6)=$H$39),$D$39,"")</f>
      </c>
      <c r="X39" t="s" s="442">
        <f>IF(AND(MONTH(X6)=$G$39,YEAR(X6)=$H$39),$D$39,"")</f>
      </c>
      <c r="Y39" t="s" s="442">
        <f>IF(AND(MONTH(Y6)=$G$39,YEAR(Y6)=$H$39),$D$39,"")</f>
      </c>
      <c r="Z39" t="s" s="442">
        <f>IF(AND(MONTH(Z6)=$G$39,YEAR(Z6)=$H$39),$D$39,"")</f>
      </c>
      <c r="AA39" t="s" s="442">
        <f>IF(AND(MONTH(AA6)=$G$39,YEAR(AA6)=$H$39),$D$39,"")</f>
      </c>
      <c r="AB39" t="s" s="442">
        <f>IF(AND(MONTH(AB6)=$G$39,YEAR(AB6)=$H$39),$D$39,"")</f>
      </c>
      <c r="AC39" t="s" s="442">
        <f>IF(AND(MONTH(AC6)=$G$39,YEAR(AC6)=$H$39),$D$39,"")</f>
      </c>
      <c r="AD39" t="s" s="442">
        <f>IF(AND(MONTH(AD6)=$G$39,YEAR(AD6)=$H$39),$D$39,"")</f>
      </c>
      <c r="AE39" t="s" s="442">
        <f>IF(AND(MONTH(AE6)=$G$39,YEAR(AE6)=$H$39),$D$39,"")</f>
      </c>
      <c r="AF39" t="s" s="442">
        <f>IF(AND(MONTH(AF6)=$G$39,YEAR(AF6)=$H$39),$D$39,"")</f>
      </c>
      <c r="AG39" t="s" s="442">
        <f>IF(AND(MONTH(AG6)=$G$39,YEAR(AG6)=$H$39),$D$39,"")</f>
      </c>
      <c r="AH39" t="s" s="442">
        <f>IF(AND(MONTH(AH6)=$G$39,YEAR(AH6)=$H$39),$D$39,"")</f>
      </c>
      <c r="AI39" t="s" s="442">
        <f>IF(AND(MONTH(AI6)=$G$39,YEAR(AI6)=$H$39),$D$39,"")</f>
      </c>
      <c r="AJ39" t="s" s="442">
        <f>IF(AND(MONTH(AJ6)=$G$39,YEAR(AJ6)=$H$39),$D$39,"")</f>
      </c>
      <c r="AK39" t="s" s="442">
        <f>IF(AND(MONTH(AK6)=$G$39,YEAR(AK6)=$H$39),$D$39,"")</f>
      </c>
      <c r="AL39" t="s" s="442">
        <f>IF(AND(MONTH(AL6)=$G$39,YEAR(AL6)=$H$39),$D$39,"")</f>
      </c>
      <c r="AM39" t="s" s="442">
        <f>IF(AND(MONTH(AM6)=$G$39,YEAR(AM6)=$H$39),$D$39,"")</f>
      </c>
      <c r="AN39" t="s" s="442">
        <f>IF(AND(MONTH(AN6)=$G$39,YEAR(AN6)=$H$39),$D$39,"")</f>
      </c>
      <c r="AO39" t="s" s="442">
        <f>IF(AND(MONTH(AO6)=$G$39,YEAR(AO6)=$H$39),$D$39,"")</f>
      </c>
      <c r="AP39" t="s" s="442">
        <f>IF(AND(MONTH(AP6)=$G$39,YEAR(AP6)=$H$39),$D$39,"")</f>
      </c>
      <c r="AQ39" t="s" s="442">
        <f>IF(AND(MONTH(AQ6)=$G$39,YEAR(AQ6)=$H$39),$D$39,"")</f>
      </c>
      <c r="AR39" t="s" s="442">
        <f>IF(AND(MONTH(AR6)=$G$39,YEAR(AR6)=$H$39),$D$39,"")</f>
      </c>
      <c r="AS39" s="432"/>
      <c r="AT39" s="443">
        <f>D39-SUM(I39:AR39)</f>
        <v>0</v>
      </c>
    </row>
    <row r="40" s="417" customFormat="1" ht="15" customHeight="1">
      <c r="A40" t="s" s="437">
        <v>595</v>
      </c>
      <c r="B40" s="454">
        <v>0</v>
      </c>
      <c r="C40" s="451"/>
      <c r="D40" s="453">
        <f>SUM(B40:C40)</f>
        <v>0</v>
      </c>
      <c r="E40" s="452"/>
      <c r="F40" s="439"/>
      <c r="G40" s="440">
        <v>1</v>
      </c>
      <c r="H40" s="441">
        <f>YEAR((DATE(1899,12,31)+(0*7+IF(F40&gt;60,F40-1,F40))))</f>
        <v>1899</v>
      </c>
      <c r="I40" t="s" s="442">
        <f>IF(AND(MONTH(I6)=$G$40,YEAR(I6)=$H$40),$D$40,"")</f>
      </c>
      <c r="J40" t="s" s="442">
        <f>IF(AND(MONTH(J6)=$G$40,YEAR(J6)=$H$40),$D$40,"")</f>
      </c>
      <c r="K40" t="s" s="442">
        <f>IF(AND(MONTH(K6)=$G$40,YEAR(K6)=$H$40),$D$40,"")</f>
      </c>
      <c r="L40" t="s" s="442">
        <f>IF(AND(MONTH(L6)=$G$40,YEAR(L6)=$H$40),$D$40,"")</f>
      </c>
      <c r="M40" t="s" s="442">
        <f>IF(AND(MONTH(M6)=$G$40,YEAR(M6)=$H$40),$D$40,"")</f>
      </c>
      <c r="N40" t="s" s="442">
        <f>IF(AND(MONTH(N6)=$G$40,YEAR(N6)=$H$40),$D$40,"")</f>
      </c>
      <c r="O40" t="s" s="442">
        <f>IF(AND(MONTH(O6)=$G$40,YEAR(O6)=$H$40),$D$40,"")</f>
      </c>
      <c r="P40" t="s" s="442">
        <f>IF(AND(MONTH(P6)=$G$40,YEAR(P6)=$H$40),$D$40,"")</f>
      </c>
      <c r="Q40" t="s" s="442">
        <f>IF(AND(MONTH(Q6)=$G$40,YEAR(Q6)=$H$40),$D$40,"")</f>
      </c>
      <c r="R40" t="s" s="442">
        <f>IF(AND(MONTH(R6)=$G$40,YEAR(R6)=$H$40),$D$40,"")</f>
      </c>
      <c r="S40" t="s" s="442">
        <f>IF(AND(MONTH(S6)=$G$40,YEAR(S6)=$H$40),$D$40,"")</f>
      </c>
      <c r="T40" t="s" s="442">
        <f>IF(AND(MONTH(T6)=$G$40,YEAR(T6)=$H$40),$D$40,"")</f>
      </c>
      <c r="U40" t="s" s="442">
        <f>IF(AND(MONTH(U6)=$G$40,YEAR(U6)=$H$40),$D$40,"")</f>
      </c>
      <c r="V40" t="s" s="442">
        <f>IF(AND(MONTH(V6)=$G$40,YEAR(V6)=$H$40),$D$40,"")</f>
      </c>
      <c r="W40" t="s" s="442">
        <f>IF(AND(MONTH(W6)=$G$40,YEAR(W6)=$H$40),$D$40,"")</f>
      </c>
      <c r="X40" t="s" s="442">
        <f>IF(AND(MONTH(X6)=$G$40,YEAR(X6)=$H$40),$D$40,"")</f>
      </c>
      <c r="Y40" t="s" s="442">
        <f>IF(AND(MONTH(Y6)=$G$40,YEAR(Y6)=$H$40),$D$40,"")</f>
      </c>
      <c r="Z40" t="s" s="442">
        <f>IF(AND(MONTH(Z6)=$G$40,YEAR(Z6)=$H$40),$D$40,"")</f>
      </c>
      <c r="AA40" t="s" s="442">
        <f>IF(AND(MONTH(AA6)=$G$40,YEAR(AA6)=$H$40),$D$40,"")</f>
      </c>
      <c r="AB40" t="s" s="442">
        <f>IF(AND(MONTH(AB6)=$G$40,YEAR(AB6)=$H$40),$D$40,"")</f>
      </c>
      <c r="AC40" t="s" s="442">
        <f>IF(AND(MONTH(AC6)=$G$40,YEAR(AC6)=$H$40),$D$40,"")</f>
      </c>
      <c r="AD40" t="s" s="442">
        <f>IF(AND(MONTH(AD6)=$G$40,YEAR(AD6)=$H$40),$D$40,"")</f>
      </c>
      <c r="AE40" t="s" s="442">
        <f>IF(AND(MONTH(AE6)=$G$40,YEAR(AE6)=$H$40),$D$40,"")</f>
      </c>
      <c r="AF40" t="s" s="442">
        <f>IF(AND(MONTH(AF6)=$G$40,YEAR(AF6)=$H$40),$D$40,"")</f>
      </c>
      <c r="AG40" t="s" s="442">
        <f>IF(AND(MONTH(AG6)=$G$40,YEAR(AG6)=$H$40),$D$40,"")</f>
      </c>
      <c r="AH40" t="s" s="442">
        <f>IF(AND(MONTH(AH6)=$G$40,YEAR(AH6)=$H$40),$D$40,"")</f>
      </c>
      <c r="AI40" t="s" s="442">
        <f>IF(AND(MONTH(AI6)=$G$40,YEAR(AI6)=$H$40),$D$40,"")</f>
      </c>
      <c r="AJ40" t="s" s="442">
        <f>IF(AND(MONTH(AJ6)=$G$40,YEAR(AJ6)=$H$40),$D$40,"")</f>
      </c>
      <c r="AK40" t="s" s="442">
        <f>IF(AND(MONTH(AK6)=$G$40,YEAR(AK6)=$H$40),$D$40,"")</f>
      </c>
      <c r="AL40" t="s" s="442">
        <f>IF(AND(MONTH(AL6)=$G$40,YEAR(AL6)=$H$40),$D$40,"")</f>
      </c>
      <c r="AM40" t="s" s="442">
        <f>IF(AND(MONTH(AM6)=$G$40,YEAR(AM6)=$H$40),$D$40,"")</f>
      </c>
      <c r="AN40" t="s" s="442">
        <f>IF(AND(MONTH(AN6)=$G$40,YEAR(AN6)=$H$40),$D$40,"")</f>
      </c>
      <c r="AO40" t="s" s="442">
        <f>IF(AND(MONTH(AO6)=$G$40,YEAR(AO6)=$H$40),$D$40,"")</f>
      </c>
      <c r="AP40" t="s" s="442">
        <f>IF(AND(MONTH(AP6)=$G$40,YEAR(AP6)=$H$40),$D$40,"")</f>
      </c>
      <c r="AQ40" t="s" s="442">
        <f>IF(AND(MONTH(AQ6)=$G$40,YEAR(AQ6)=$H$40),$D$40,"")</f>
      </c>
      <c r="AR40" t="s" s="442">
        <f>IF(AND(MONTH(AR6)=$G$40,YEAR(AR6)=$H$40),$D$40,"")</f>
      </c>
      <c r="AS40" s="432"/>
      <c r="AT40" s="443">
        <f>D40-SUM(I40:AR40)</f>
        <v>0</v>
      </c>
    </row>
    <row r="41" s="417" customFormat="1" ht="15" customHeight="1">
      <c r="A41" t="s" s="437">
        <v>595</v>
      </c>
      <c r="B41" s="454">
        <v>0</v>
      </c>
      <c r="C41" s="451"/>
      <c r="D41" s="453">
        <f>SUM(B41:C41)</f>
        <v>0</v>
      </c>
      <c r="E41" s="452"/>
      <c r="F41" s="439"/>
      <c r="G41" s="440">
        <v>1</v>
      </c>
      <c r="H41" s="441">
        <f>YEAR((DATE(1899,12,31)+(0*7+IF(F41&gt;60,F41-1,F41))))</f>
        <v>1899</v>
      </c>
      <c r="I41" t="s" s="442">
        <f>IF(AND(MONTH(I6)=$G$41,YEAR(I6)=$H$41),$D$41,"")</f>
      </c>
      <c r="J41" t="s" s="442">
        <f>IF(AND(MONTH(J6)=$G$41,YEAR(J6)=$H$41),$D$41,"")</f>
      </c>
      <c r="K41" t="s" s="442">
        <f>IF(AND(MONTH(K6)=$G$41,YEAR(K6)=$H$41),$D$41,"")</f>
      </c>
      <c r="L41" t="s" s="442">
        <f>IF(AND(MONTH(L6)=$G$41,YEAR(L6)=$H$41),$D$41,"")</f>
      </c>
      <c r="M41" t="s" s="442">
        <f>IF(AND(MONTH(M6)=$G$41,YEAR(M6)=$H$41),$D$41,"")</f>
      </c>
      <c r="N41" t="s" s="442">
        <f>IF(AND(MONTH(N6)=$G$41,YEAR(N6)=$H$41),$D$41,"")</f>
      </c>
      <c r="O41" t="s" s="442">
        <f>IF(AND(MONTH(O6)=$G$41,YEAR(O6)=$H$41),$D$41,"")</f>
      </c>
      <c r="P41" t="s" s="442">
        <f>IF(AND(MONTH(P6)=$G$41,YEAR(P6)=$H$41),$D$41,"")</f>
      </c>
      <c r="Q41" t="s" s="442">
        <f>IF(AND(MONTH(Q6)=$G$41,YEAR(Q6)=$H$41),$D$41,"")</f>
      </c>
      <c r="R41" t="s" s="442">
        <f>IF(AND(MONTH(R6)=$G$41,YEAR(R6)=$H$41),$D$41,"")</f>
      </c>
      <c r="S41" t="s" s="442">
        <f>IF(AND(MONTH(S6)=$G$41,YEAR(S6)=$H$41),$D$41,"")</f>
      </c>
      <c r="T41" t="s" s="442">
        <f>IF(AND(MONTH(T6)=$G$41,YEAR(T6)=$H$41),$D$41,"")</f>
      </c>
      <c r="U41" t="s" s="442">
        <f>IF(AND(MONTH(U6)=$G$41,YEAR(U6)=$H$41),$D$41,"")</f>
      </c>
      <c r="V41" t="s" s="442">
        <f>IF(AND(MONTH(V6)=$G$41,YEAR(V6)=$H$41),$D$41,"")</f>
      </c>
      <c r="W41" t="s" s="442">
        <f>IF(AND(MONTH(W6)=$G$41,YEAR(W6)=$H$41),$D$41,"")</f>
      </c>
      <c r="X41" t="s" s="442">
        <f>IF(AND(MONTH(X6)=$G$41,YEAR(X6)=$H$41),$D$41,"")</f>
      </c>
      <c r="Y41" t="s" s="442">
        <f>IF(AND(MONTH(Y6)=$G$41,YEAR(Y6)=$H$41),$D$41,"")</f>
      </c>
      <c r="Z41" t="s" s="442">
        <f>IF(AND(MONTH(Z6)=$G$41,YEAR(Z6)=$H$41),$D$41,"")</f>
      </c>
      <c r="AA41" t="s" s="442">
        <f>IF(AND(MONTH(AA6)=$G$41,YEAR(AA6)=$H$41),$D$41,"")</f>
      </c>
      <c r="AB41" t="s" s="442">
        <f>IF(AND(MONTH(AB6)=$G$41,YEAR(AB6)=$H$41),$D$41,"")</f>
      </c>
      <c r="AC41" t="s" s="442">
        <f>IF(AND(MONTH(AC6)=$G$41,YEAR(AC6)=$H$41),$D$41,"")</f>
      </c>
      <c r="AD41" t="s" s="442">
        <f>IF(AND(MONTH(AD6)=$G$41,YEAR(AD6)=$H$41),$D$41,"")</f>
      </c>
      <c r="AE41" t="s" s="442">
        <f>IF(AND(MONTH(AE6)=$G$41,YEAR(AE6)=$H$41),$D$41,"")</f>
      </c>
      <c r="AF41" t="s" s="442">
        <f>IF(AND(MONTH(AF6)=$G$41,YEAR(AF6)=$H$41),$D$41,"")</f>
      </c>
      <c r="AG41" t="s" s="442">
        <f>IF(AND(MONTH(AG6)=$G$41,YEAR(AG6)=$H$41),$D$41,"")</f>
      </c>
      <c r="AH41" t="s" s="442">
        <f>IF(AND(MONTH(AH6)=$G$41,YEAR(AH6)=$H$41),$D$41,"")</f>
      </c>
      <c r="AI41" t="s" s="442">
        <f>IF(AND(MONTH(AI6)=$G$41,YEAR(AI6)=$H$41),$D$41,"")</f>
      </c>
      <c r="AJ41" t="s" s="442">
        <f>IF(AND(MONTH(AJ6)=$G$41,YEAR(AJ6)=$H$41),$D$41,"")</f>
      </c>
      <c r="AK41" t="s" s="442">
        <f>IF(AND(MONTH(AK6)=$G$41,YEAR(AK6)=$H$41),$D$41,"")</f>
      </c>
      <c r="AL41" t="s" s="442">
        <f>IF(AND(MONTH(AL6)=$G$41,YEAR(AL6)=$H$41),$D$41,"")</f>
      </c>
      <c r="AM41" t="s" s="442">
        <f>IF(AND(MONTH(AM6)=$G$41,YEAR(AM6)=$H$41),$D$41,"")</f>
      </c>
      <c r="AN41" t="s" s="442">
        <f>IF(AND(MONTH(AN6)=$G$41,YEAR(AN6)=$H$41),$D$41,"")</f>
      </c>
      <c r="AO41" t="s" s="442">
        <f>IF(AND(MONTH(AO6)=$G$41,YEAR(AO6)=$H$41),$D$41,"")</f>
      </c>
      <c r="AP41" t="s" s="442">
        <f>IF(AND(MONTH(AP6)=$G$41,YEAR(AP6)=$H$41),$D$41,"")</f>
      </c>
      <c r="AQ41" t="s" s="442">
        <f>IF(AND(MONTH(AQ6)=$G$41,YEAR(AQ6)=$H$41),$D$41,"")</f>
      </c>
      <c r="AR41" t="s" s="442">
        <f>IF(AND(MONTH(AR6)=$G$41,YEAR(AR6)=$H$41),$D$41,"")</f>
      </c>
      <c r="AS41" s="432"/>
      <c r="AT41" s="443">
        <f>D41-SUM(I41:AR41)</f>
        <v>0</v>
      </c>
    </row>
    <row r="42" s="417" customFormat="1" ht="15" customHeight="1">
      <c r="A42" t="s" s="437">
        <v>595</v>
      </c>
      <c r="B42" s="454">
        <v>0</v>
      </c>
      <c r="C42" s="451"/>
      <c r="D42" s="453">
        <f>SUM(B42:C42)</f>
        <v>0</v>
      </c>
      <c r="E42" s="452"/>
      <c r="F42" s="439"/>
      <c r="G42" s="440">
        <v>1</v>
      </c>
      <c r="H42" s="441">
        <f>YEAR((DATE(1899,12,31)+(0*7+IF(F42&gt;60,F42-1,F42))))</f>
        <v>1899</v>
      </c>
      <c r="I42" t="s" s="442">
        <f>IF(AND(MONTH(I6)=$G$42,YEAR(I6)=$H$42),$D$42,"")</f>
      </c>
      <c r="J42" t="s" s="442">
        <f>IF(AND(MONTH(J6)=$G$42,YEAR(J6)=$H$42),$D$42,"")</f>
      </c>
      <c r="K42" t="s" s="442">
        <f>IF(AND(MONTH(K6)=$G$42,YEAR(K6)=$H$42),$D$42,"")</f>
      </c>
      <c r="L42" t="s" s="442">
        <f>IF(AND(MONTH(L6)=$G$42,YEAR(L6)=$H$42),$D$42,"")</f>
      </c>
      <c r="M42" t="s" s="442">
        <f>IF(AND(MONTH(M6)=$G$42,YEAR(M6)=$H$42),$D$42,"")</f>
      </c>
      <c r="N42" t="s" s="442">
        <f>IF(AND(MONTH(N6)=$G$42,YEAR(N6)=$H$42),$D$42,"")</f>
      </c>
      <c r="O42" t="s" s="442">
        <f>IF(AND(MONTH(O6)=$G$42,YEAR(O6)=$H$42),$D$42,"")</f>
      </c>
      <c r="P42" t="s" s="442">
        <f>IF(AND(MONTH(P6)=$G$42,YEAR(P6)=$H$42),$D$42,"")</f>
      </c>
      <c r="Q42" t="s" s="442">
        <f>IF(AND(MONTH(Q6)=$G$42,YEAR(Q6)=$H$42),$D$42,"")</f>
      </c>
      <c r="R42" t="s" s="442">
        <f>IF(AND(MONTH(R6)=$G$42,YEAR(R6)=$H$42),$D$42,"")</f>
      </c>
      <c r="S42" t="s" s="442">
        <f>IF(AND(MONTH(S6)=$G$42,YEAR(S6)=$H$42),$D$42,"")</f>
      </c>
      <c r="T42" t="s" s="442">
        <f>IF(AND(MONTH(T6)=$G$42,YEAR(T6)=$H$42),$D$42,"")</f>
      </c>
      <c r="U42" t="s" s="442">
        <f>IF(AND(MONTH(U6)=$G$42,YEAR(U6)=$H$42),$D$42,"")</f>
      </c>
      <c r="V42" t="s" s="442">
        <f>IF(AND(MONTH(V6)=$G$42,YEAR(V6)=$H$42),$D$42,"")</f>
      </c>
      <c r="W42" t="s" s="442">
        <f>IF(AND(MONTH(W6)=$G$42,YEAR(W6)=$H$42),$D$42,"")</f>
      </c>
      <c r="X42" t="s" s="442">
        <f>IF(AND(MONTH(X6)=$G$42,YEAR(X6)=$H$42),$D$42,"")</f>
      </c>
      <c r="Y42" t="s" s="442">
        <f>IF(AND(MONTH(Y6)=$G$42,YEAR(Y6)=$H$42),$D$42,"")</f>
      </c>
      <c r="Z42" t="s" s="442">
        <f>IF(AND(MONTH(Z6)=$G$42,YEAR(Z6)=$H$42),$D$42,"")</f>
      </c>
      <c r="AA42" t="s" s="442">
        <f>IF(AND(MONTH(AA6)=$G$42,YEAR(AA6)=$H$42),$D$42,"")</f>
      </c>
      <c r="AB42" t="s" s="442">
        <f>IF(AND(MONTH(AB6)=$G$42,YEAR(AB6)=$H$42),$D$42,"")</f>
      </c>
      <c r="AC42" t="s" s="442">
        <f>IF(AND(MONTH(AC6)=$G$42,YEAR(AC6)=$H$42),$D$42,"")</f>
      </c>
      <c r="AD42" t="s" s="442">
        <f>IF(AND(MONTH(AD6)=$G$42,YEAR(AD6)=$H$42),$D$42,"")</f>
      </c>
      <c r="AE42" t="s" s="442">
        <f>IF(AND(MONTH(AE6)=$G$42,YEAR(AE6)=$H$42),$D$42,"")</f>
      </c>
      <c r="AF42" t="s" s="442">
        <f>IF(AND(MONTH(AF6)=$G$42,YEAR(AF6)=$H$42),$D$42,"")</f>
      </c>
      <c r="AG42" t="s" s="442">
        <f>IF(AND(MONTH(AG6)=$G$42,YEAR(AG6)=$H$42),$D$42,"")</f>
      </c>
      <c r="AH42" t="s" s="442">
        <f>IF(AND(MONTH(AH6)=$G$42,YEAR(AH6)=$H$42),$D$42,"")</f>
      </c>
      <c r="AI42" t="s" s="442">
        <f>IF(AND(MONTH(AI6)=$G$42,YEAR(AI6)=$H$42),$D$42,"")</f>
      </c>
      <c r="AJ42" t="s" s="442">
        <f>IF(AND(MONTH(AJ6)=$G$42,YEAR(AJ6)=$H$42),$D$42,"")</f>
      </c>
      <c r="AK42" t="s" s="442">
        <f>IF(AND(MONTH(AK6)=$G$42,YEAR(AK6)=$H$42),$D$42,"")</f>
      </c>
      <c r="AL42" t="s" s="442">
        <f>IF(AND(MONTH(AL6)=$G$42,YEAR(AL6)=$H$42),$D$42,"")</f>
      </c>
      <c r="AM42" t="s" s="442">
        <f>IF(AND(MONTH(AM6)=$G$42,YEAR(AM6)=$H$42),$D$42,"")</f>
      </c>
      <c r="AN42" t="s" s="442">
        <f>IF(AND(MONTH(AN6)=$G$42,YEAR(AN6)=$H$42),$D$42,"")</f>
      </c>
      <c r="AO42" t="s" s="442">
        <f>IF(AND(MONTH(AO6)=$G$42,YEAR(AO6)=$H$42),$D$42,"")</f>
      </c>
      <c r="AP42" t="s" s="442">
        <f>IF(AND(MONTH(AP6)=$G$42,YEAR(AP6)=$H$42),$D$42,"")</f>
      </c>
      <c r="AQ42" t="s" s="442">
        <f>IF(AND(MONTH(AQ6)=$G$42,YEAR(AQ6)=$H$42),$D$42,"")</f>
      </c>
      <c r="AR42" t="s" s="442">
        <f>IF(AND(MONTH(AR6)=$G$42,YEAR(AR6)=$H$42),$D$42,"")</f>
      </c>
      <c r="AS42" s="432"/>
      <c r="AT42" s="443">
        <f>D42-SUM(I42:AR42)</f>
        <v>0</v>
      </c>
    </row>
    <row r="43" s="417" customFormat="1" ht="15" customHeight="1">
      <c r="A43" t="s" s="437">
        <v>595</v>
      </c>
      <c r="B43" s="454">
        <v>0</v>
      </c>
      <c r="C43" s="451"/>
      <c r="D43" s="453">
        <f>SUM(B43:C43)</f>
        <v>0</v>
      </c>
      <c r="E43" s="452"/>
      <c r="F43" s="439"/>
      <c r="G43" s="440">
        <v>1</v>
      </c>
      <c r="H43" s="441">
        <f>YEAR((DATE(1899,12,31)+(0*7+IF(F43&gt;60,F43-1,F43))))</f>
        <v>1899</v>
      </c>
      <c r="I43" t="s" s="442">
        <f>IF(AND(MONTH(I6)=$G$43,YEAR(I6)=$H$43),$D$43,"")</f>
      </c>
      <c r="J43" t="s" s="442">
        <f>IF(AND(MONTH(J6)=$G$43,YEAR(J6)=$H$43),$D$43,"")</f>
      </c>
      <c r="K43" t="s" s="442">
        <f>IF(AND(MONTH(K6)=$G$43,YEAR(K6)=$H$43),$D$43,"")</f>
      </c>
      <c r="L43" t="s" s="442">
        <f>IF(AND(MONTH(L6)=$G$43,YEAR(L6)=$H$43),$D$43,"")</f>
      </c>
      <c r="M43" t="s" s="442">
        <f>IF(AND(MONTH(M6)=$G$43,YEAR(M6)=$H$43),$D$43,"")</f>
      </c>
      <c r="N43" t="s" s="442">
        <f>IF(AND(MONTH(N6)=$G$43,YEAR(N6)=$H$43),$D$43,"")</f>
      </c>
      <c r="O43" t="s" s="442">
        <f>IF(AND(MONTH(O6)=$G$43,YEAR(O6)=$H$43),$D$43,"")</f>
      </c>
      <c r="P43" t="s" s="442">
        <f>IF(AND(MONTH(P6)=$G$43,YEAR(P6)=$H$43),$D$43,"")</f>
      </c>
      <c r="Q43" t="s" s="442">
        <f>IF(AND(MONTH(Q6)=$G$43,YEAR(Q6)=$H$43),$D$43,"")</f>
      </c>
      <c r="R43" t="s" s="442">
        <f>IF(AND(MONTH(R6)=$G$43,YEAR(R6)=$H$43),$D$43,"")</f>
      </c>
      <c r="S43" t="s" s="442">
        <f>IF(AND(MONTH(S6)=$G$43,YEAR(S6)=$H$43),$D$43,"")</f>
      </c>
      <c r="T43" t="s" s="442">
        <f>IF(AND(MONTH(T6)=$G$43,YEAR(T6)=$H$43),$D$43,"")</f>
      </c>
      <c r="U43" t="s" s="442">
        <f>IF(AND(MONTH(U6)=$G$43,YEAR(U6)=$H$43),$D$43,"")</f>
      </c>
      <c r="V43" t="s" s="442">
        <f>IF(AND(MONTH(V6)=$G$43,YEAR(V6)=$H$43),$D$43,"")</f>
      </c>
      <c r="W43" t="s" s="442">
        <f>IF(AND(MONTH(W6)=$G$43,YEAR(W6)=$H$43),$D$43,"")</f>
      </c>
      <c r="X43" t="s" s="442">
        <f>IF(AND(MONTH(X6)=$G$43,YEAR(X6)=$H$43),$D$43,"")</f>
      </c>
      <c r="Y43" t="s" s="442">
        <f>IF(AND(MONTH(Y6)=$G$43,YEAR(Y6)=$H$43),$D$43,"")</f>
      </c>
      <c r="Z43" t="s" s="442">
        <f>IF(AND(MONTH(Z6)=$G$43,YEAR(Z6)=$H$43),$D$43,"")</f>
      </c>
      <c r="AA43" t="s" s="442">
        <f>IF(AND(MONTH(AA6)=$G$43,YEAR(AA6)=$H$43),$D$43,"")</f>
      </c>
      <c r="AB43" t="s" s="442">
        <f>IF(AND(MONTH(AB6)=$G$43,YEAR(AB6)=$H$43),$D$43,"")</f>
      </c>
      <c r="AC43" t="s" s="442">
        <f>IF(AND(MONTH(AC6)=$G$43,YEAR(AC6)=$H$43),$D$43,"")</f>
      </c>
      <c r="AD43" t="s" s="442">
        <f>IF(AND(MONTH(AD6)=$G$43,YEAR(AD6)=$H$43),$D$43,"")</f>
      </c>
      <c r="AE43" t="s" s="442">
        <f>IF(AND(MONTH(AE6)=$G$43,YEAR(AE6)=$H$43),$D$43,"")</f>
      </c>
      <c r="AF43" t="s" s="442">
        <f>IF(AND(MONTH(AF6)=$G$43,YEAR(AF6)=$H$43),$D$43,"")</f>
      </c>
      <c r="AG43" t="s" s="442">
        <f>IF(AND(MONTH(AG6)=$G$43,YEAR(AG6)=$H$43),$D$43,"")</f>
      </c>
      <c r="AH43" t="s" s="442">
        <f>IF(AND(MONTH(AH6)=$G$43,YEAR(AH6)=$H$43),$D$43,"")</f>
      </c>
      <c r="AI43" t="s" s="442">
        <f>IF(AND(MONTH(AI6)=$G$43,YEAR(AI6)=$H$43),$D$43,"")</f>
      </c>
      <c r="AJ43" t="s" s="442">
        <f>IF(AND(MONTH(AJ6)=$G$43,YEAR(AJ6)=$H$43),$D$43,"")</f>
      </c>
      <c r="AK43" t="s" s="442">
        <f>IF(AND(MONTH(AK6)=$G$43,YEAR(AK6)=$H$43),$D$43,"")</f>
      </c>
      <c r="AL43" t="s" s="442">
        <f>IF(AND(MONTH(AL6)=$G$43,YEAR(AL6)=$H$43),$D$43,"")</f>
      </c>
      <c r="AM43" t="s" s="442">
        <f>IF(AND(MONTH(AM6)=$G$43,YEAR(AM6)=$H$43),$D$43,"")</f>
      </c>
      <c r="AN43" t="s" s="442">
        <f>IF(AND(MONTH(AN6)=$G$43,YEAR(AN6)=$H$43),$D$43,"")</f>
      </c>
      <c r="AO43" t="s" s="442">
        <f>IF(AND(MONTH(AO6)=$G$43,YEAR(AO6)=$H$43),$D$43,"")</f>
      </c>
      <c r="AP43" t="s" s="442">
        <f>IF(AND(MONTH(AP6)=$G$43,YEAR(AP6)=$H$43),$D$43,"")</f>
      </c>
      <c r="AQ43" t="s" s="442">
        <f>IF(AND(MONTH(AQ6)=$G$43,YEAR(AQ6)=$H$43),$D$43,"")</f>
      </c>
      <c r="AR43" t="s" s="442">
        <f>IF(AND(MONTH(AR6)=$G$43,YEAR(AR6)=$H$43),$D$43,"")</f>
      </c>
      <c r="AS43" s="432"/>
      <c r="AT43" s="443">
        <f>D43-SUM(I43:AR43)</f>
        <v>0</v>
      </c>
    </row>
    <row r="44" s="417" customFormat="1" ht="15" customHeight="1">
      <c r="A44" t="s" s="437">
        <v>595</v>
      </c>
      <c r="B44" s="454">
        <v>0</v>
      </c>
      <c r="C44" s="451"/>
      <c r="D44" s="453">
        <f>SUM(B44:C44)</f>
        <v>0</v>
      </c>
      <c r="E44" s="452"/>
      <c r="F44" s="439"/>
      <c r="G44" s="440">
        <v>1</v>
      </c>
      <c r="H44" s="441">
        <f>YEAR((DATE(1899,12,31)+(0*7+IF(F44&gt;60,F44-1,F44))))</f>
        <v>1899</v>
      </c>
      <c r="I44" t="s" s="442">
        <f>IF(AND(MONTH(I6)=$G$44,YEAR(I6)=$H$44),$D$44,"")</f>
      </c>
      <c r="J44" t="s" s="442">
        <f>IF(AND(MONTH(J6)=$G$44,YEAR(J6)=$H$44),$D$44,"")</f>
      </c>
      <c r="K44" t="s" s="442">
        <f>IF(AND(MONTH(K6)=$G$44,YEAR(K6)=$H$44),$D$44,"")</f>
      </c>
      <c r="L44" t="s" s="442">
        <f>IF(AND(MONTH(L6)=$G$44,YEAR(L6)=$H$44),$D$44,"")</f>
      </c>
      <c r="M44" t="s" s="442">
        <f>IF(AND(MONTH(M6)=$G$44,YEAR(M6)=$H$44),$D$44,"")</f>
      </c>
      <c r="N44" t="s" s="442">
        <f>IF(AND(MONTH(N6)=$G$44,YEAR(N6)=$H$44),$D$44,"")</f>
      </c>
      <c r="O44" t="s" s="442">
        <f>IF(AND(MONTH(O6)=$G$44,YEAR(O6)=$H$44),$D$44,"")</f>
      </c>
      <c r="P44" t="s" s="442">
        <f>IF(AND(MONTH(P6)=$G$44,YEAR(P6)=$H$44),$D$44,"")</f>
      </c>
      <c r="Q44" t="s" s="442">
        <f>IF(AND(MONTH(Q6)=$G$44,YEAR(Q6)=$H$44),$D$44,"")</f>
      </c>
      <c r="R44" t="s" s="442">
        <f>IF(AND(MONTH(R6)=$G$44,YEAR(R6)=$H$44),$D$44,"")</f>
      </c>
      <c r="S44" t="s" s="442">
        <f>IF(AND(MONTH(S6)=$G$44,YEAR(S6)=$H$44),$D$44,"")</f>
      </c>
      <c r="T44" t="s" s="442">
        <f>IF(AND(MONTH(T6)=$G$44,YEAR(T6)=$H$44),$D$44,"")</f>
      </c>
      <c r="U44" t="s" s="442">
        <f>IF(AND(MONTH(U6)=$G$44,YEAR(U6)=$H$44),$D$44,"")</f>
      </c>
      <c r="V44" t="s" s="442">
        <f>IF(AND(MONTH(V6)=$G$44,YEAR(V6)=$H$44),$D$44,"")</f>
      </c>
      <c r="W44" t="s" s="442">
        <f>IF(AND(MONTH(W6)=$G$44,YEAR(W6)=$H$44),$D$44,"")</f>
      </c>
      <c r="X44" t="s" s="442">
        <f>IF(AND(MONTH(X6)=$G$44,YEAR(X6)=$H$44),$D$44,"")</f>
      </c>
      <c r="Y44" t="s" s="442">
        <f>IF(AND(MONTH(Y6)=$G$44,YEAR(Y6)=$H$44),$D$44,"")</f>
      </c>
      <c r="Z44" t="s" s="442">
        <f>IF(AND(MONTH(Z6)=$G$44,YEAR(Z6)=$H$44),$D$44,"")</f>
      </c>
      <c r="AA44" t="s" s="442">
        <f>IF(AND(MONTH(AA6)=$G$44,YEAR(AA6)=$H$44),$D$44,"")</f>
      </c>
      <c r="AB44" t="s" s="442">
        <f>IF(AND(MONTH(AB6)=$G$44,YEAR(AB6)=$H$44),$D$44,"")</f>
      </c>
      <c r="AC44" t="s" s="442">
        <f>IF(AND(MONTH(AC6)=$G$44,YEAR(AC6)=$H$44),$D$44,"")</f>
      </c>
      <c r="AD44" t="s" s="442">
        <f>IF(AND(MONTH(AD6)=$G$44,YEAR(AD6)=$H$44),$D$44,"")</f>
      </c>
      <c r="AE44" t="s" s="442">
        <f>IF(AND(MONTH(AE6)=$G$44,YEAR(AE6)=$H$44),$D$44,"")</f>
      </c>
      <c r="AF44" t="s" s="442">
        <f>IF(AND(MONTH(AF6)=$G$44,YEAR(AF6)=$H$44),$D$44,"")</f>
      </c>
      <c r="AG44" t="s" s="442">
        <f>IF(AND(MONTH(AG6)=$G$44,YEAR(AG6)=$H$44),$D$44,"")</f>
      </c>
      <c r="AH44" t="s" s="442">
        <f>IF(AND(MONTH(AH6)=$G$44,YEAR(AH6)=$H$44),$D$44,"")</f>
      </c>
      <c r="AI44" t="s" s="442">
        <f>IF(AND(MONTH(AI6)=$G$44,YEAR(AI6)=$H$44),$D$44,"")</f>
      </c>
      <c r="AJ44" t="s" s="442">
        <f>IF(AND(MONTH(AJ6)=$G$44,YEAR(AJ6)=$H$44),$D$44,"")</f>
      </c>
      <c r="AK44" t="s" s="442">
        <f>IF(AND(MONTH(AK6)=$G$44,YEAR(AK6)=$H$44),$D$44,"")</f>
      </c>
      <c r="AL44" t="s" s="442">
        <f>IF(AND(MONTH(AL6)=$G$44,YEAR(AL6)=$H$44),$D$44,"")</f>
      </c>
      <c r="AM44" t="s" s="442">
        <f>IF(AND(MONTH(AM6)=$G$44,YEAR(AM6)=$H$44),$D$44,"")</f>
      </c>
      <c r="AN44" t="s" s="442">
        <f>IF(AND(MONTH(AN6)=$G$44,YEAR(AN6)=$H$44),$D$44,"")</f>
      </c>
      <c r="AO44" t="s" s="442">
        <f>IF(AND(MONTH(AO6)=$G$44,YEAR(AO6)=$H$44),$D$44,"")</f>
      </c>
      <c r="AP44" t="s" s="442">
        <f>IF(AND(MONTH(AP6)=$G$44,YEAR(AP6)=$H$44),$D$44,"")</f>
      </c>
      <c r="AQ44" t="s" s="442">
        <f>IF(AND(MONTH(AQ6)=$G$44,YEAR(AQ6)=$H$44),$D$44,"")</f>
      </c>
      <c r="AR44" t="s" s="442">
        <f>IF(AND(MONTH(AR6)=$G$44,YEAR(AR6)=$H$44),$D$44,"")</f>
      </c>
      <c r="AS44" s="432"/>
      <c r="AT44" s="443">
        <f>D44-SUM(I44:AR44)</f>
        <v>0</v>
      </c>
    </row>
    <row r="45" s="417" customFormat="1" ht="15" customHeight="1">
      <c r="A45" t="s" s="437">
        <v>595</v>
      </c>
      <c r="B45" s="454">
        <v>0</v>
      </c>
      <c r="C45" s="451"/>
      <c r="D45" s="453">
        <f>SUM(B45:C45)</f>
        <v>0</v>
      </c>
      <c r="E45" s="452"/>
      <c r="F45" s="439"/>
      <c r="G45" s="440">
        <v>1</v>
      </c>
      <c r="H45" s="441">
        <f>YEAR((DATE(1899,12,31)+(0*7+IF(F45&gt;60,F45-1,F45))))</f>
        <v>1899</v>
      </c>
      <c r="I45" t="s" s="442">
        <f>IF(AND(MONTH(I6)=$G$45,YEAR(I6)=$H$45),$D$45,"")</f>
      </c>
      <c r="J45" t="s" s="442">
        <f>IF(AND(MONTH(J6)=$G$45,YEAR(J6)=$H$45),$D$45,"")</f>
      </c>
      <c r="K45" t="s" s="442">
        <f>IF(AND(MONTH(K6)=$G$45,YEAR(K6)=$H$45),$D$45,"")</f>
      </c>
      <c r="L45" t="s" s="442">
        <f>IF(AND(MONTH(L6)=$G$45,YEAR(L6)=$H$45),$D$45,"")</f>
      </c>
      <c r="M45" t="s" s="442">
        <f>IF(AND(MONTH(M6)=$G$45,YEAR(M6)=$H$45),$D$45,"")</f>
      </c>
      <c r="N45" t="s" s="442">
        <f>IF(AND(MONTH(N6)=$G$45,YEAR(N6)=$H$45),$D$45,"")</f>
      </c>
      <c r="O45" t="s" s="442">
        <f>IF(AND(MONTH(O6)=$G$45,YEAR(O6)=$H$45),$D$45,"")</f>
      </c>
      <c r="P45" t="s" s="442">
        <f>IF(AND(MONTH(P6)=$G$45,YEAR(P6)=$H$45),$D$45,"")</f>
      </c>
      <c r="Q45" t="s" s="442">
        <f>IF(AND(MONTH(Q6)=$G$45,YEAR(Q6)=$H$45),$D$45,"")</f>
      </c>
      <c r="R45" t="s" s="442">
        <f>IF(AND(MONTH(R6)=$G$45,YEAR(R6)=$H$45),$D$45,"")</f>
      </c>
      <c r="S45" t="s" s="442">
        <f>IF(AND(MONTH(S6)=$G$45,YEAR(S6)=$H$45),$D$45,"")</f>
      </c>
      <c r="T45" t="s" s="442">
        <f>IF(AND(MONTH(T6)=$G$45,YEAR(T6)=$H$45),$D$45,"")</f>
      </c>
      <c r="U45" t="s" s="442">
        <f>IF(AND(MONTH(U6)=$G$45,YEAR(U6)=$H$45),$D$45,"")</f>
      </c>
      <c r="V45" t="s" s="442">
        <f>IF(AND(MONTH(V6)=$G$45,YEAR(V6)=$H$45),$D$45,"")</f>
      </c>
      <c r="W45" t="s" s="442">
        <f>IF(AND(MONTH(W6)=$G$45,YEAR(W6)=$H$45),$D$45,"")</f>
      </c>
      <c r="X45" t="s" s="442">
        <f>IF(AND(MONTH(X6)=$G$45,YEAR(X6)=$H$45),$D$45,"")</f>
      </c>
      <c r="Y45" t="s" s="442">
        <f>IF(AND(MONTH(Y6)=$G$45,YEAR(Y6)=$H$45),$D$45,"")</f>
      </c>
      <c r="Z45" t="s" s="442">
        <f>IF(AND(MONTH(Z6)=$G$45,YEAR(Z6)=$H$45),$D$45,"")</f>
      </c>
      <c r="AA45" t="s" s="442">
        <f>IF(AND(MONTH(AA6)=$G$45,YEAR(AA6)=$H$45),$D$45,"")</f>
      </c>
      <c r="AB45" t="s" s="442">
        <f>IF(AND(MONTH(AB6)=$G$45,YEAR(AB6)=$H$45),$D$45,"")</f>
      </c>
      <c r="AC45" t="s" s="442">
        <f>IF(AND(MONTH(AC6)=$G$45,YEAR(AC6)=$H$45),$D$45,"")</f>
      </c>
      <c r="AD45" t="s" s="442">
        <f>IF(AND(MONTH(AD6)=$G$45,YEAR(AD6)=$H$45),$D$45,"")</f>
      </c>
      <c r="AE45" t="s" s="442">
        <f>IF(AND(MONTH(AE6)=$G$45,YEAR(AE6)=$H$45),$D$45,"")</f>
      </c>
      <c r="AF45" t="s" s="442">
        <f>IF(AND(MONTH(AF6)=$G$45,YEAR(AF6)=$H$45),$D$45,"")</f>
      </c>
      <c r="AG45" t="s" s="442">
        <f>IF(AND(MONTH(AG6)=$G$45,YEAR(AG6)=$H$45),$D$45,"")</f>
      </c>
      <c r="AH45" t="s" s="442">
        <f>IF(AND(MONTH(AH6)=$G$45,YEAR(AH6)=$H$45),$D$45,"")</f>
      </c>
      <c r="AI45" t="s" s="442">
        <f>IF(AND(MONTH(AI6)=$G$45,YEAR(AI6)=$H$45),$D$45,"")</f>
      </c>
      <c r="AJ45" t="s" s="442">
        <f>IF(AND(MONTH(AJ6)=$G$45,YEAR(AJ6)=$H$45),$D$45,"")</f>
      </c>
      <c r="AK45" t="s" s="442">
        <f>IF(AND(MONTH(AK6)=$G$45,YEAR(AK6)=$H$45),$D$45,"")</f>
      </c>
      <c r="AL45" t="s" s="442">
        <f>IF(AND(MONTH(AL6)=$G$45,YEAR(AL6)=$H$45),$D$45,"")</f>
      </c>
      <c r="AM45" t="s" s="442">
        <f>IF(AND(MONTH(AM6)=$G$45,YEAR(AM6)=$H$45),$D$45,"")</f>
      </c>
      <c r="AN45" t="s" s="442">
        <f>IF(AND(MONTH(AN6)=$G$45,YEAR(AN6)=$H$45),$D$45,"")</f>
      </c>
      <c r="AO45" t="s" s="442">
        <f>IF(AND(MONTH(AO6)=$G$45,YEAR(AO6)=$H$45),$D$45,"")</f>
      </c>
      <c r="AP45" t="s" s="442">
        <f>IF(AND(MONTH(AP6)=$G$45,YEAR(AP6)=$H$45),$D$45,"")</f>
      </c>
      <c r="AQ45" t="s" s="442">
        <f>IF(AND(MONTH(AQ6)=$G$45,YEAR(AQ6)=$H$45),$D$45,"")</f>
      </c>
      <c r="AR45" t="s" s="442">
        <f>IF(AND(MONTH(AR6)=$G$45,YEAR(AR6)=$H$45),$D$45,"")</f>
      </c>
      <c r="AS45" s="432"/>
      <c r="AT45" s="443">
        <f>D45-SUM(I45:AR45)</f>
        <v>0</v>
      </c>
    </row>
    <row r="46" s="417" customFormat="1" ht="15" customHeight="1">
      <c r="A46" t="s" s="437">
        <v>595</v>
      </c>
      <c r="B46" s="454">
        <v>0</v>
      </c>
      <c r="C46" s="451"/>
      <c r="D46" s="453">
        <f>SUM(B46:C46)</f>
        <v>0</v>
      </c>
      <c r="E46" s="452"/>
      <c r="F46" s="439"/>
      <c r="G46" s="440">
        <v>1</v>
      </c>
      <c r="H46" s="441">
        <f>YEAR((DATE(1899,12,31)+(0*7+IF(F46&gt;60,F46-1,F46))))</f>
        <v>1899</v>
      </c>
      <c r="I46" t="s" s="442">
        <f>IF(AND(MONTH(I6)=$G$46,YEAR(I6)=$H$46),$D$46,"")</f>
      </c>
      <c r="J46" t="s" s="442">
        <f>IF(AND(MONTH(J6)=$G$46,YEAR(J6)=$H$46),$D$46,"")</f>
      </c>
      <c r="K46" t="s" s="442">
        <f>IF(AND(MONTH(K6)=$G$46,YEAR(K6)=$H$46),$D$46,"")</f>
      </c>
      <c r="L46" t="s" s="442">
        <f>IF(AND(MONTH(L6)=$G$46,YEAR(L6)=$H$46),$D$46,"")</f>
      </c>
      <c r="M46" t="s" s="442">
        <f>IF(AND(MONTH(M6)=$G$46,YEAR(M6)=$H$46),$D$46,"")</f>
      </c>
      <c r="N46" t="s" s="442">
        <f>IF(AND(MONTH(N6)=$G$46,YEAR(N6)=$H$46),$D$46,"")</f>
      </c>
      <c r="O46" t="s" s="442">
        <f>IF(AND(MONTH(O6)=$G$46,YEAR(O6)=$H$46),$D$46,"")</f>
      </c>
      <c r="P46" t="s" s="442">
        <f>IF(AND(MONTH(P6)=$G$46,YEAR(P6)=$H$46),$D$46,"")</f>
      </c>
      <c r="Q46" t="s" s="442">
        <f>IF(AND(MONTH(Q6)=$G$46,YEAR(Q6)=$H$46),$D$46,"")</f>
      </c>
      <c r="R46" t="s" s="442">
        <f>IF(AND(MONTH(R6)=$G$46,YEAR(R6)=$H$46),$D$46,"")</f>
      </c>
      <c r="S46" t="s" s="442">
        <f>IF(AND(MONTH(S6)=$G$46,YEAR(S6)=$H$46),$D$46,"")</f>
      </c>
      <c r="T46" t="s" s="442">
        <f>IF(AND(MONTH(T6)=$G$46,YEAR(T6)=$H$46),$D$46,"")</f>
      </c>
      <c r="U46" t="s" s="442">
        <f>IF(AND(MONTH(U6)=$G$46,YEAR(U6)=$H$46),$D$46,"")</f>
      </c>
      <c r="V46" t="s" s="442">
        <f>IF(AND(MONTH(V6)=$G$46,YEAR(V6)=$H$46),$D$46,"")</f>
      </c>
      <c r="W46" t="s" s="442">
        <f>IF(AND(MONTH(W6)=$G$46,YEAR(W6)=$H$46),$D$46,"")</f>
      </c>
      <c r="X46" t="s" s="442">
        <f>IF(AND(MONTH(X6)=$G$46,YEAR(X6)=$H$46),$D$46,"")</f>
      </c>
      <c r="Y46" t="s" s="442">
        <f>IF(AND(MONTH(Y6)=$G$46,YEAR(Y6)=$H$46),$D$46,"")</f>
      </c>
      <c r="Z46" t="s" s="442">
        <f>IF(AND(MONTH(Z6)=$G$46,YEAR(Z6)=$H$46),$D$46,"")</f>
      </c>
      <c r="AA46" t="s" s="442">
        <f>IF(AND(MONTH(AA6)=$G$46,YEAR(AA6)=$H$46),$D$46,"")</f>
      </c>
      <c r="AB46" t="s" s="442">
        <f>IF(AND(MONTH(AB6)=$G$46,YEAR(AB6)=$H$46),$D$46,"")</f>
      </c>
      <c r="AC46" t="s" s="442">
        <f>IF(AND(MONTH(AC6)=$G$46,YEAR(AC6)=$H$46),$D$46,"")</f>
      </c>
      <c r="AD46" t="s" s="442">
        <f>IF(AND(MONTH(AD6)=$G$46,YEAR(AD6)=$H$46),$D$46,"")</f>
      </c>
      <c r="AE46" t="s" s="442">
        <f>IF(AND(MONTH(AE6)=$G$46,YEAR(AE6)=$H$46),$D$46,"")</f>
      </c>
      <c r="AF46" t="s" s="442">
        <f>IF(AND(MONTH(AF6)=$G$46,YEAR(AF6)=$H$46),$D$46,"")</f>
      </c>
      <c r="AG46" t="s" s="442">
        <f>IF(AND(MONTH(AG6)=$G$46,YEAR(AG6)=$H$46),$D$46,"")</f>
      </c>
      <c r="AH46" t="s" s="442">
        <f>IF(AND(MONTH(AH6)=$G$46,YEAR(AH6)=$H$46),$D$46,"")</f>
      </c>
      <c r="AI46" t="s" s="442">
        <f>IF(AND(MONTH(AI6)=$G$46,YEAR(AI6)=$H$46),$D$46,"")</f>
      </c>
      <c r="AJ46" t="s" s="442">
        <f>IF(AND(MONTH(AJ6)=$G$46,YEAR(AJ6)=$H$46),$D$46,"")</f>
      </c>
      <c r="AK46" t="s" s="442">
        <f>IF(AND(MONTH(AK6)=$G$46,YEAR(AK6)=$H$46),$D$46,"")</f>
      </c>
      <c r="AL46" t="s" s="442">
        <f>IF(AND(MONTH(AL6)=$G$46,YEAR(AL6)=$H$46),$D$46,"")</f>
      </c>
      <c r="AM46" t="s" s="442">
        <f>IF(AND(MONTH(AM6)=$G$46,YEAR(AM6)=$H$46),$D$46,"")</f>
      </c>
      <c r="AN46" t="s" s="442">
        <f>IF(AND(MONTH(AN6)=$G$46,YEAR(AN6)=$H$46),$D$46,"")</f>
      </c>
      <c r="AO46" t="s" s="442">
        <f>IF(AND(MONTH(AO6)=$G$46,YEAR(AO6)=$H$46),$D$46,"")</f>
      </c>
      <c r="AP46" t="s" s="442">
        <f>IF(AND(MONTH(AP6)=$G$46,YEAR(AP6)=$H$46),$D$46,"")</f>
      </c>
      <c r="AQ46" t="s" s="442">
        <f>IF(AND(MONTH(AQ6)=$G$46,YEAR(AQ6)=$H$46),$D$46,"")</f>
      </c>
      <c r="AR46" t="s" s="442">
        <f>IF(AND(MONTH(AR6)=$G$46,YEAR(AR6)=$H$46),$D$46,"")</f>
      </c>
      <c r="AS46" s="432"/>
      <c r="AT46" s="443">
        <f>D46-SUM(I46:AR46)</f>
        <v>0</v>
      </c>
    </row>
    <row r="47" s="417" customFormat="1" ht="15" customHeight="1">
      <c r="A47" t="s" s="437">
        <v>595</v>
      </c>
      <c r="B47" s="454">
        <v>0</v>
      </c>
      <c r="C47" s="451"/>
      <c r="D47" s="453">
        <f>SUM(B47:C47)</f>
        <v>0</v>
      </c>
      <c r="E47" s="452"/>
      <c r="F47" s="439"/>
      <c r="G47" s="440">
        <v>1</v>
      </c>
      <c r="H47" s="441">
        <f>YEAR((DATE(1899,12,31)+(0*7+IF(F47&gt;60,F47-1,F47))))</f>
        <v>1899</v>
      </c>
      <c r="I47" t="s" s="442">
        <f>IF(AND(MONTH(I6)=$G$47,YEAR(I6)=$H$47),$D$47,"")</f>
      </c>
      <c r="J47" t="s" s="442">
        <f>IF(AND(MONTH(J6)=$G$47,YEAR(J6)=$H$47),$D$47,"")</f>
      </c>
      <c r="K47" t="s" s="442">
        <f>IF(AND(MONTH(K6)=$G$47,YEAR(K6)=$H$47),$D$47,"")</f>
      </c>
      <c r="L47" t="s" s="442">
        <f>IF(AND(MONTH(L6)=$G$47,YEAR(L6)=$H$47),$D$47,"")</f>
      </c>
      <c r="M47" t="s" s="442">
        <f>IF(AND(MONTH(M6)=$G$47,YEAR(M6)=$H$47),$D$47,"")</f>
      </c>
      <c r="N47" t="s" s="442">
        <f>IF(AND(MONTH(N6)=$G$47,YEAR(N6)=$H$47),$D$47,"")</f>
      </c>
      <c r="O47" t="s" s="442">
        <f>IF(AND(MONTH(O6)=$G$47,YEAR(O6)=$H$47),$D$47,"")</f>
      </c>
      <c r="P47" t="s" s="442">
        <f>IF(AND(MONTH(P6)=$G$47,YEAR(P6)=$H$47),$D$47,"")</f>
      </c>
      <c r="Q47" t="s" s="442">
        <f>IF(AND(MONTH(Q6)=$G$47,YEAR(Q6)=$H$47),$D$47,"")</f>
      </c>
      <c r="R47" t="s" s="442">
        <f>IF(AND(MONTH(R6)=$G$47,YEAR(R6)=$H$47),$D$47,"")</f>
      </c>
      <c r="S47" t="s" s="442">
        <f>IF(AND(MONTH(S6)=$G$47,YEAR(S6)=$H$47),$D$47,"")</f>
      </c>
      <c r="T47" t="s" s="442">
        <f>IF(AND(MONTH(T6)=$G$47,YEAR(T6)=$H$47),$D$47,"")</f>
      </c>
      <c r="U47" t="s" s="442">
        <f>IF(AND(MONTH(U6)=$G$47,YEAR(U6)=$H$47),$D$47,"")</f>
      </c>
      <c r="V47" t="s" s="442">
        <f>IF(AND(MONTH(V6)=$G$47,YEAR(V6)=$H$47),$D$47,"")</f>
      </c>
      <c r="W47" t="s" s="442">
        <f>IF(AND(MONTH(W6)=$G$47,YEAR(W6)=$H$47),$D$47,"")</f>
      </c>
      <c r="X47" t="s" s="442">
        <f>IF(AND(MONTH(X6)=$G$47,YEAR(X6)=$H$47),$D$47,"")</f>
      </c>
      <c r="Y47" t="s" s="442">
        <f>IF(AND(MONTH(Y6)=$G$47,YEAR(Y6)=$H$47),$D$47,"")</f>
      </c>
      <c r="Z47" t="s" s="442">
        <f>IF(AND(MONTH(Z6)=$G$47,YEAR(Z6)=$H$47),$D$47,"")</f>
      </c>
      <c r="AA47" t="s" s="442">
        <f>IF(AND(MONTH(AA6)=$G$47,YEAR(AA6)=$H$47),$D$47,"")</f>
      </c>
      <c r="AB47" t="s" s="442">
        <f>IF(AND(MONTH(AB6)=$G$47,YEAR(AB6)=$H$47),$D$47,"")</f>
      </c>
      <c r="AC47" t="s" s="442">
        <f>IF(AND(MONTH(AC6)=$G$47,YEAR(AC6)=$H$47),$D$47,"")</f>
      </c>
      <c r="AD47" t="s" s="442">
        <f>IF(AND(MONTH(AD6)=$G$47,YEAR(AD6)=$H$47),$D$47,"")</f>
      </c>
      <c r="AE47" t="s" s="442">
        <f>IF(AND(MONTH(AE6)=$G$47,YEAR(AE6)=$H$47),$D$47,"")</f>
      </c>
      <c r="AF47" t="s" s="442">
        <f>IF(AND(MONTH(AF6)=$G$47,YEAR(AF6)=$H$47),$D$47,"")</f>
      </c>
      <c r="AG47" t="s" s="442">
        <f>IF(AND(MONTH(AG6)=$G$47,YEAR(AG6)=$H$47),$D$47,"")</f>
      </c>
      <c r="AH47" t="s" s="442">
        <f>IF(AND(MONTH(AH6)=$G$47,YEAR(AH6)=$H$47),$D$47,"")</f>
      </c>
      <c r="AI47" t="s" s="442">
        <f>IF(AND(MONTH(AI6)=$G$47,YEAR(AI6)=$H$47),$D$47,"")</f>
      </c>
      <c r="AJ47" t="s" s="442">
        <f>IF(AND(MONTH(AJ6)=$G$47,YEAR(AJ6)=$H$47),$D$47,"")</f>
      </c>
      <c r="AK47" t="s" s="442">
        <f>IF(AND(MONTH(AK6)=$G$47,YEAR(AK6)=$H$47),$D$47,"")</f>
      </c>
      <c r="AL47" t="s" s="442">
        <f>IF(AND(MONTH(AL6)=$G$47,YEAR(AL6)=$H$47),$D$47,"")</f>
      </c>
      <c r="AM47" t="s" s="442">
        <f>IF(AND(MONTH(AM6)=$G$47,YEAR(AM6)=$H$47),$D$47,"")</f>
      </c>
      <c r="AN47" t="s" s="442">
        <f>IF(AND(MONTH(AN6)=$G$47,YEAR(AN6)=$H$47),$D$47,"")</f>
      </c>
      <c r="AO47" t="s" s="442">
        <f>IF(AND(MONTH(AO6)=$G$47,YEAR(AO6)=$H$47),$D$47,"")</f>
      </c>
      <c r="AP47" t="s" s="442">
        <f>IF(AND(MONTH(AP6)=$G$47,YEAR(AP6)=$H$47),$D$47,"")</f>
      </c>
      <c r="AQ47" t="s" s="442">
        <f>IF(AND(MONTH(AQ6)=$G$47,YEAR(AQ6)=$H$47),$D$47,"")</f>
      </c>
      <c r="AR47" t="s" s="442">
        <f>IF(AND(MONTH(AR6)=$G$47,YEAR(AR6)=$H$47),$D$47,"")</f>
      </c>
      <c r="AS47" s="432"/>
      <c r="AT47" s="443">
        <f>D47-SUM(I47:AR47)</f>
        <v>0</v>
      </c>
    </row>
    <row r="48" s="417" customFormat="1" ht="15" customHeight="1">
      <c r="A48" t="s" s="437">
        <v>595</v>
      </c>
      <c r="B48" s="454">
        <v>0</v>
      </c>
      <c r="C48" s="451"/>
      <c r="D48" s="453">
        <f>SUM(B48:C48)</f>
        <v>0</v>
      </c>
      <c r="E48" s="452"/>
      <c r="F48" s="439"/>
      <c r="G48" s="440">
        <v>1</v>
      </c>
      <c r="H48" s="441">
        <f>YEAR((DATE(1899,12,31)+(0*7+IF(F48&gt;60,F48-1,F48))))</f>
        <v>1899</v>
      </c>
      <c r="I48" t="s" s="442">
        <f>IF(AND(MONTH(I6)=$G$48,YEAR(I6)=$H$48),$D$48,"")</f>
      </c>
      <c r="J48" s="438"/>
      <c r="K48" t="s" s="442">
        <f>IF(AND(MONTH(K6)=$G$48,YEAR(K6)=$H$48),$D$48,"")</f>
      </c>
      <c r="L48" t="s" s="442">
        <f>IF(AND(MONTH(L6)=$G$48,YEAR(L6)=$H$48),$D$48,"")</f>
      </c>
      <c r="M48" t="s" s="442">
        <f>IF(AND(MONTH(M6)=$G$48,YEAR(M6)=$H$48),$D$48,"")</f>
      </c>
      <c r="N48" t="s" s="442">
        <f>IF(AND(MONTH(N6)=$G$48,YEAR(N6)=$H$48),$D$48,"")</f>
      </c>
      <c r="O48" t="s" s="442">
        <f>IF(AND(MONTH(O6)=$G$48,YEAR(O6)=$H$48),$D$48,"")</f>
      </c>
      <c r="P48" t="s" s="442">
        <f>IF(AND(MONTH(P6)=$G$48,YEAR(P6)=$H$48),$D$48,"")</f>
      </c>
      <c r="Q48" t="s" s="442">
        <f>IF(AND(MONTH(Q6)=$G$48,YEAR(Q6)=$H$48),$D$48,"")</f>
      </c>
      <c r="R48" t="s" s="442">
        <f>IF(AND(MONTH(R6)=$G$48,YEAR(R6)=$H$48),$D$48,"")</f>
      </c>
      <c r="S48" t="s" s="442">
        <f>IF(AND(MONTH(S6)=$G$48,YEAR(S6)=$H$48),$D$48,"")</f>
      </c>
      <c r="T48" t="s" s="442">
        <f>IF(AND(MONTH(T6)=$G$48,YEAR(T6)=$H$48),$D$48,"")</f>
      </c>
      <c r="U48" t="s" s="442">
        <f>IF(AND(MONTH(U6)=$G$48,YEAR(U6)=$H$48),$D$48,"")</f>
      </c>
      <c r="V48" t="s" s="442">
        <f>IF(AND(MONTH(V6)=$G$48,YEAR(V6)=$H$48),$D$48,"")</f>
      </c>
      <c r="W48" t="s" s="442">
        <f>IF(AND(MONTH(W6)=$G$48,YEAR(W6)=$H$48),$D$48,"")</f>
      </c>
      <c r="X48" t="s" s="442">
        <f>IF(AND(MONTH(X6)=$G$48,YEAR(X6)=$H$48),$D$48,"")</f>
      </c>
      <c r="Y48" t="s" s="442">
        <f>IF(AND(MONTH(Y6)=$G$48,YEAR(Y6)=$H$48),$D$48,"")</f>
      </c>
      <c r="Z48" t="s" s="442">
        <f>IF(AND(MONTH(Z6)=$G$48,YEAR(Z6)=$H$48),$D$48,"")</f>
      </c>
      <c r="AA48" t="s" s="442">
        <f>IF(AND(MONTH(AA6)=$G$48,YEAR(AA6)=$H$48),$D$48,"")</f>
      </c>
      <c r="AB48" t="s" s="442">
        <f>IF(AND(MONTH(AB6)=$G$48,YEAR(AB6)=$H$48),$D$48,"")</f>
      </c>
      <c r="AC48" t="s" s="442">
        <f>IF(AND(MONTH(AC6)=$G$48,YEAR(AC6)=$H$48),$D$48,"")</f>
      </c>
      <c r="AD48" t="s" s="442">
        <f>IF(AND(MONTH(AD6)=$G$48,YEAR(AD6)=$H$48),$D$48,"")</f>
      </c>
      <c r="AE48" t="s" s="442">
        <f>IF(AND(MONTH(AE6)=$G$48,YEAR(AE6)=$H$48),$D$48,"")</f>
      </c>
      <c r="AF48" t="s" s="442">
        <f>IF(AND(MONTH(AF6)=$G$48,YEAR(AF6)=$H$48),$D$48,"")</f>
      </c>
      <c r="AG48" t="s" s="442">
        <f>IF(AND(MONTH(AG6)=$G$48,YEAR(AG6)=$H$48),$D$48,"")</f>
      </c>
      <c r="AH48" t="s" s="442">
        <f>IF(AND(MONTH(AH6)=$G$48,YEAR(AH6)=$H$48),$D$48,"")</f>
      </c>
      <c r="AI48" t="s" s="442">
        <f>IF(AND(MONTH(AI6)=$G$48,YEAR(AI6)=$H$48),$D$48,"")</f>
      </c>
      <c r="AJ48" t="s" s="442">
        <f>IF(AND(MONTH(AJ6)=$G$48,YEAR(AJ6)=$H$48),$D$48,"")</f>
      </c>
      <c r="AK48" t="s" s="442">
        <f>IF(AND(MONTH(AK6)=$G$48,YEAR(AK6)=$H$48),$D$48,"")</f>
      </c>
      <c r="AL48" t="s" s="442">
        <f>IF(AND(MONTH(AL6)=$G$48,YEAR(AL6)=$H$48),$D$48,"")</f>
      </c>
      <c r="AM48" t="s" s="442">
        <f>IF(AND(MONTH(AM6)=$G$48,YEAR(AM6)=$H$48),$D$48,"")</f>
      </c>
      <c r="AN48" t="s" s="442">
        <f>IF(AND(MONTH(AN6)=$G$48,YEAR(AN6)=$H$48),$D$48,"")</f>
      </c>
      <c r="AO48" t="s" s="442">
        <f>IF(AND(MONTH(AO6)=$G$48,YEAR(AO6)=$H$48),$D$48,"")</f>
      </c>
      <c r="AP48" t="s" s="442">
        <f>IF(AND(MONTH(AP6)=$G$48,YEAR(AP6)=$H$48),$D$48,"")</f>
      </c>
      <c r="AQ48" t="s" s="442">
        <f>IF(AND(MONTH(AQ6)=$G$48,YEAR(AQ6)=$H$48),$D$48,"")</f>
      </c>
      <c r="AR48" t="s" s="442">
        <f>IF(AND(MONTH(AR6)=$G$48,YEAR(AR6)=$H$48),$D$48,"")</f>
      </c>
      <c r="AS48" s="432"/>
      <c r="AT48" s="443">
        <f>D48-SUM(I48:AR48)</f>
        <v>0</v>
      </c>
    </row>
    <row r="49" s="417" customFormat="1" ht="15" customHeight="1">
      <c r="A49" t="s" s="437">
        <v>595</v>
      </c>
      <c r="B49" s="454">
        <v>0</v>
      </c>
      <c r="C49" s="456"/>
      <c r="D49" s="457">
        <f>SUM(B49:C49)</f>
        <v>0</v>
      </c>
      <c r="E49" s="458"/>
      <c r="F49" s="459"/>
      <c r="G49" s="440">
        <v>1</v>
      </c>
      <c r="H49" s="441">
        <f>YEAR((DATE(1899,12,31)+(0*7+IF(F49&gt;60,F49-1,F49))))</f>
        <v>1899</v>
      </c>
      <c r="I49" t="s" s="442">
        <f>IF(AND(MONTH(I6)=$G$49,YEAR(I6)=$H$49),$D$49,"")</f>
      </c>
      <c r="J49" t="s" s="442">
        <f>IF(AND(MONTH(J6)=$G$49,YEAR(J6)=$H$49),$D$49,"")</f>
      </c>
      <c r="K49" t="s" s="442">
        <f>IF(AND(MONTH(K6)=$G$49,YEAR(K6)=$H$49),$D$49,"")</f>
      </c>
      <c r="L49" t="s" s="442">
        <f>IF(AND(MONTH(L6)=$G$49,YEAR(L6)=$H$49),$D$49,"")</f>
      </c>
      <c r="M49" t="s" s="442">
        <f>IF(AND(MONTH(M6)=$G$49,YEAR(M6)=$H$49),$D$49,"")</f>
      </c>
      <c r="N49" t="s" s="442">
        <f>IF(AND(MONTH(N6)=$G$49,YEAR(N6)=$H$49),$D$49,"")</f>
      </c>
      <c r="O49" t="s" s="442">
        <f>IF(AND(MONTH(O6)=$G$49,YEAR(O6)=$H$49),$D$49,"")</f>
      </c>
      <c r="P49" t="s" s="442">
        <f>IF(AND(MONTH(P6)=$G$49,YEAR(P6)=$H$49),$D$49,"")</f>
      </c>
      <c r="Q49" t="s" s="442">
        <f>IF(AND(MONTH(Q6)=$G$49,YEAR(Q6)=$H$49),$D$49,"")</f>
      </c>
      <c r="R49" t="s" s="442">
        <f>IF(AND(MONTH(R6)=$G$49,YEAR(R6)=$H$49),$D$49,"")</f>
      </c>
      <c r="S49" t="s" s="442">
        <f>IF(AND(MONTH(S6)=$G$49,YEAR(S6)=$H$49),$D$49,"")</f>
      </c>
      <c r="T49" t="s" s="442">
        <f>IF(AND(MONTH(T6)=$G$49,YEAR(T6)=$H$49),$D$49,"")</f>
      </c>
      <c r="U49" t="s" s="442">
        <f>IF(AND(MONTH(U6)=$G$49,YEAR(U6)=$H$49),$D$49,"")</f>
      </c>
      <c r="V49" t="s" s="442">
        <f>IF(AND(MONTH(V6)=$G$49,YEAR(V6)=$H$49),$D$49,"")</f>
      </c>
      <c r="W49" t="s" s="442">
        <f>IF(AND(MONTH(W6)=$G$49,YEAR(W6)=$H$49),$D$49,"")</f>
      </c>
      <c r="X49" t="s" s="442">
        <f>IF(AND(MONTH(X6)=$G$49,YEAR(X6)=$H$49),$D$49,"")</f>
      </c>
      <c r="Y49" t="s" s="442">
        <f>IF(AND(MONTH(Y6)=$G$49,YEAR(Y6)=$H$49),$D$49,"")</f>
      </c>
      <c r="Z49" t="s" s="442">
        <f>IF(AND(MONTH(Z6)=$G$49,YEAR(Z6)=$H$49),$D$49,"")</f>
      </c>
      <c r="AA49" t="s" s="442">
        <f>IF(AND(MONTH(AA6)=$G$49,YEAR(AA6)=$H$49),$D$49,"")</f>
      </c>
      <c r="AB49" t="s" s="442">
        <f>IF(AND(MONTH(AB6)=$G$49,YEAR(AB6)=$H$49),$D$49,"")</f>
      </c>
      <c r="AC49" t="s" s="442">
        <f>IF(AND(MONTH(AC6)=$G$49,YEAR(AC6)=$H$49),$D$49,"")</f>
      </c>
      <c r="AD49" t="s" s="442">
        <f>IF(AND(MONTH(AD6)=$G$49,YEAR(AD6)=$H$49),$D$49,"")</f>
      </c>
      <c r="AE49" t="s" s="442">
        <f>IF(AND(MONTH(AE6)=$G$49,YEAR(AE6)=$H$49),$D$49,"")</f>
      </c>
      <c r="AF49" t="s" s="442">
        <f>IF(AND(MONTH(AF6)=$G$49,YEAR(AF6)=$H$49),$D$49,"")</f>
      </c>
      <c r="AG49" t="s" s="442">
        <f>IF(AND(MONTH(AG6)=$G$49,YEAR(AG6)=$H$49),$D$49,"")</f>
      </c>
      <c r="AH49" t="s" s="442">
        <f>IF(AND(MONTH(AH6)=$G$49,YEAR(AH6)=$H$49),$D$49,"")</f>
      </c>
      <c r="AI49" t="s" s="442">
        <f>IF(AND(MONTH(AI6)=$G$49,YEAR(AI6)=$H$49),$D$49,"")</f>
      </c>
      <c r="AJ49" t="s" s="442">
        <f>IF(AND(MONTH(AJ6)=$G$49,YEAR(AJ6)=$H$49),$D$49,"")</f>
      </c>
      <c r="AK49" t="s" s="442">
        <f>IF(AND(MONTH(AK6)=$G$49,YEAR(AK6)=$H$49),$D$49,"")</f>
      </c>
      <c r="AL49" t="s" s="442">
        <f>IF(AND(MONTH(AL6)=$G$49,YEAR(AL6)=$H$49),$D$49,"")</f>
      </c>
      <c r="AM49" t="s" s="442">
        <f>IF(AND(MONTH(AM6)=$G$49,YEAR(AM6)=$H$49),$D$49,"")</f>
      </c>
      <c r="AN49" t="s" s="442">
        <f>IF(AND(MONTH(AN6)=$G$49,YEAR(AN6)=$H$49),$D$49,"")</f>
      </c>
      <c r="AO49" t="s" s="442">
        <f>IF(AND(MONTH(AO6)=$G$49,YEAR(AO6)=$H$49),$D$49,"")</f>
      </c>
      <c r="AP49" t="s" s="442">
        <f>IF(AND(MONTH(AP6)=$G$49,YEAR(AP6)=$H$49),$D$49,"")</f>
      </c>
      <c r="AQ49" t="s" s="442">
        <f>IF(AND(MONTH(AQ6)=$G$49,YEAR(AQ6)=$H$49),$D$49,"")</f>
      </c>
      <c r="AR49" t="s" s="442">
        <f>IF(AND(MONTH(AR6)=$G$49,YEAR(AR6)=$H$49),$D$49,"")</f>
      </c>
      <c r="AS49" s="432"/>
      <c r="AT49" s="443">
        <f>D49-SUM(I49:AR49)</f>
        <v>0</v>
      </c>
    </row>
    <row r="50" s="417" customFormat="1" ht="15" customHeight="1">
      <c r="A50" s="435"/>
      <c r="B50" s="460"/>
      <c r="C50" s="461"/>
      <c r="D50" s="461"/>
      <c r="E50" s="462"/>
      <c r="F50" s="463"/>
      <c r="G50" s="435"/>
      <c r="H50" s="431"/>
      <c r="I50" s="464"/>
      <c r="J50" s="464"/>
      <c r="K50" s="464"/>
      <c r="L50" s="464"/>
      <c r="M50" s="464"/>
      <c r="N50" s="464"/>
      <c r="O50" s="464"/>
      <c r="P50" s="464"/>
      <c r="Q50" s="464"/>
      <c r="R50" s="464"/>
      <c r="S50" s="464"/>
      <c r="T50" s="464"/>
      <c r="U50" s="464"/>
      <c r="V50" s="464"/>
      <c r="W50" s="464"/>
      <c r="X50" s="464"/>
      <c r="Y50" s="464"/>
      <c r="Z50" s="464"/>
      <c r="AA50" s="464"/>
      <c r="AB50" s="464"/>
      <c r="AC50" s="464"/>
      <c r="AD50" s="464"/>
      <c r="AE50" s="464"/>
      <c r="AF50" s="464"/>
      <c r="AG50" s="464"/>
      <c r="AH50" s="464"/>
      <c r="AI50" s="464"/>
      <c r="AJ50" s="464"/>
      <c r="AK50" s="464"/>
      <c r="AL50" s="464"/>
      <c r="AM50" s="464"/>
      <c r="AN50" s="464"/>
      <c r="AO50" s="464"/>
      <c r="AP50" s="464"/>
      <c r="AQ50" s="464"/>
      <c r="AR50" s="464"/>
      <c r="AS50" s="432"/>
      <c r="AT50" s="443">
        <f>D50-SUM(I50:AR50)</f>
        <v>0</v>
      </c>
    </row>
    <row r="51" s="417" customFormat="1" ht="15" customHeight="1">
      <c r="A51" s="435"/>
      <c r="B51" s="461">
        <f>SUM(B9:B49)</f>
        <v>96320</v>
      </c>
      <c r="C51" s="461">
        <f>SUM(C9:C44)</f>
        <v>0</v>
      </c>
      <c r="D51" s="461">
        <f>SUM(D9:D49)</f>
        <v>96320</v>
      </c>
      <c r="E51" s="465">
        <v>0.11</v>
      </c>
      <c r="F51" s="435"/>
      <c r="G51" s="435"/>
      <c r="H51" s="435"/>
      <c r="I51" s="461">
        <f>SUM(I9:I50)</f>
        <v>0</v>
      </c>
      <c r="J51" s="461">
        <f>SUM(J9:J50)</f>
        <v>20460</v>
      </c>
      <c r="K51" s="461">
        <f>SUM(K9:K50)</f>
        <v>15345</v>
      </c>
      <c r="L51" s="461">
        <f>SUM(L9:L50)</f>
        <v>20460</v>
      </c>
      <c r="M51" s="461">
        <f>SUM(M9:M50)</f>
        <v>0</v>
      </c>
      <c r="N51" s="461">
        <f>SUM(N9:N50)</f>
        <v>15345</v>
      </c>
      <c r="O51" s="461">
        <f>SUM(O9:O50)</f>
        <v>0</v>
      </c>
      <c r="P51" s="461">
        <f>SUM(P9:P50)</f>
        <v>21960</v>
      </c>
      <c r="Q51" s="461">
        <f>SUM(Q9:Q50)</f>
        <v>2250</v>
      </c>
      <c r="R51" s="461">
        <f>SUM(R9:R50)</f>
        <v>500</v>
      </c>
      <c r="S51" s="461">
        <f>SUM(S9:S50)</f>
        <v>0</v>
      </c>
      <c r="T51" s="461">
        <f>SUM(T9:T50)</f>
        <v>0</v>
      </c>
      <c r="U51" s="461">
        <f>SUM(U9:U50)</f>
        <v>0</v>
      </c>
      <c r="V51" s="461">
        <f>SUM(V9:V50)</f>
        <v>0</v>
      </c>
      <c r="W51" s="461">
        <f>SUM(W9:W50)</f>
        <v>0</v>
      </c>
      <c r="X51" s="461">
        <f>SUM(X9:X50)</f>
        <v>0</v>
      </c>
      <c r="Y51" s="461">
        <f>SUM(Y9:Y50)</f>
        <v>0</v>
      </c>
      <c r="Z51" s="461">
        <f>SUM(Z9:Z50)</f>
        <v>0</v>
      </c>
      <c r="AA51" s="461">
        <f>SUM(AA9:AA50)</f>
        <v>0</v>
      </c>
      <c r="AB51" s="461">
        <f>SUM(AB9:AB50)</f>
        <v>0</v>
      </c>
      <c r="AC51" s="461">
        <f>SUM(AC9:AC50)</f>
        <v>0</v>
      </c>
      <c r="AD51" s="461">
        <f>SUM(AD9:AD50)</f>
        <v>0</v>
      </c>
      <c r="AE51" s="461">
        <f>SUM(AE9:AE50)</f>
        <v>0</v>
      </c>
      <c r="AF51" s="461">
        <f>SUM(AF9:AF50)</f>
        <v>0</v>
      </c>
      <c r="AG51" s="461">
        <f>SUM(AG9:AG50)</f>
        <v>0</v>
      </c>
      <c r="AH51" s="461">
        <f>SUM(AH9:AH50)</f>
        <v>0</v>
      </c>
      <c r="AI51" s="461">
        <f>SUM(AI9:AI50)</f>
        <v>0</v>
      </c>
      <c r="AJ51" s="461">
        <f>SUM(AJ9:AJ50)</f>
        <v>0</v>
      </c>
      <c r="AK51" s="461">
        <f>SUM(AK9:AK50)</f>
        <v>0</v>
      </c>
      <c r="AL51" s="461">
        <f>SUM(AL9:AL50)</f>
        <v>0</v>
      </c>
      <c r="AM51" s="461">
        <f>SUM(AM9:AM50)</f>
        <v>0</v>
      </c>
      <c r="AN51" s="461">
        <f>SUM(AN9:AN50)</f>
        <v>0</v>
      </c>
      <c r="AO51" s="461">
        <f>SUM(AO9:AO50)</f>
        <v>0</v>
      </c>
      <c r="AP51" s="461">
        <f>SUM(AP9:AP50)</f>
        <v>0</v>
      </c>
      <c r="AQ51" s="461">
        <f>SUM(AQ9:AQ50)</f>
        <v>0</v>
      </c>
      <c r="AR51" s="461">
        <f>SUM(AR9:AR50)</f>
        <v>0</v>
      </c>
      <c r="AS51" s="422"/>
    </row>
    <row r="52" s="417" customFormat="1" ht="15" customHeight="1">
      <c r="A52" s="435"/>
      <c r="B52" s="463"/>
      <c r="C52" s="463"/>
      <c r="D52" s="466"/>
      <c r="E52" s="465"/>
      <c r="F52" s="435"/>
      <c r="G52" s="435"/>
      <c r="H52" s="435"/>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3"/>
      <c r="AI52" s="463"/>
      <c r="AJ52" s="463"/>
      <c r="AK52" s="463"/>
      <c r="AL52" s="463"/>
      <c r="AM52" s="463"/>
      <c r="AN52" s="463"/>
      <c r="AO52" s="463"/>
      <c r="AP52" s="463"/>
      <c r="AQ52" s="463"/>
      <c r="AR52" s="463"/>
      <c r="AS52" s="422"/>
    </row>
    <row r="53" s="417" customFormat="1" ht="15" customHeight="1">
      <c r="A53" t="s" s="467">
        <v>727</v>
      </c>
      <c r="B53" s="468"/>
      <c r="C53" s="469"/>
      <c r="D53" s="470">
        <f>D51/SUM('Dev Cash Flow'!F22:F22)</f>
        <v>0.09510550273013615</v>
      </c>
      <c r="E53" s="471"/>
      <c r="F53" s="435"/>
      <c r="G53" s="435"/>
      <c r="H53" s="435"/>
      <c r="I53" s="435"/>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435"/>
      <c r="AK53" s="435"/>
      <c r="AL53" s="435"/>
      <c r="AM53" s="435"/>
      <c r="AN53" s="435"/>
      <c r="AO53" s="435"/>
      <c r="AP53" s="435"/>
      <c r="AQ53" s="435"/>
      <c r="AR53" s="435"/>
      <c r="AS53" s="422"/>
    </row>
    <row r="54" s="417" customFormat="1" ht="15" customHeight="1">
      <c r="A54" s="435"/>
      <c r="B54" s="435"/>
      <c r="C54" s="435"/>
      <c r="D54" s="472"/>
      <c r="E54" s="465"/>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435"/>
      <c r="AK54" s="435"/>
      <c r="AL54" s="435"/>
      <c r="AM54" s="435"/>
      <c r="AN54" s="435"/>
      <c r="AO54" s="435"/>
      <c r="AP54" s="435"/>
      <c r="AQ54" s="435"/>
      <c r="AR54" s="435"/>
      <c r="AS54" s="422"/>
    </row>
    <row r="55" s="417" customFormat="1" ht="15" customHeight="1">
      <c r="A55" s="435"/>
      <c r="B55" s="435"/>
      <c r="C55" s="435"/>
      <c r="D55" s="443"/>
      <c r="E55" s="46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435"/>
      <c r="AK55" s="435"/>
      <c r="AL55" s="435"/>
      <c r="AM55" s="435"/>
      <c r="AN55" s="435"/>
      <c r="AO55" s="435"/>
      <c r="AP55" s="435"/>
      <c r="AQ55" s="435"/>
      <c r="AR55" s="435"/>
      <c r="AS55" s="422"/>
    </row>
    <row r="56" s="417" customFormat="1" ht="15" customHeight="1">
      <c r="A56" t="s" s="417">
        <v>728</v>
      </c>
      <c r="B56" s="435"/>
      <c r="C56" s="435"/>
      <c r="D56" s="443">
        <f>D51-SUM(I51:AR51)</f>
        <v>0</v>
      </c>
      <c r="E56" s="465"/>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22"/>
    </row>
    <row r="57" s="417" customFormat="1" ht="15" customHeight="1">
      <c r="A57" s="435"/>
      <c r="B57" s="435"/>
      <c r="C57" s="435"/>
      <c r="D57" s="435"/>
      <c r="E57" s="465"/>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435"/>
      <c r="AK57" s="435"/>
      <c r="AL57" s="435"/>
      <c r="AM57" s="435"/>
      <c r="AN57" s="435"/>
      <c r="AO57" s="435"/>
      <c r="AP57" s="435"/>
      <c r="AQ57" s="435"/>
      <c r="AR57" s="435"/>
      <c r="AS57" s="422"/>
    </row>
    <row r="58" s="417" customFormat="1" ht="15" customHeight="1" hidden="1">
      <c r="A58" s="435"/>
      <c r="B58" s="435"/>
      <c r="C58" s="435"/>
      <c r="D58" s="473"/>
      <c r="E58" s="435"/>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435"/>
      <c r="AK58" s="435"/>
      <c r="AL58" s="435"/>
      <c r="AM58" s="435"/>
      <c r="AN58" s="435"/>
      <c r="AO58" s="435"/>
      <c r="AP58" s="435"/>
      <c r="AQ58" s="435"/>
      <c r="AR58" s="435"/>
      <c r="AS58" s="422"/>
    </row>
    <row r="59" s="417" customFormat="1" ht="15" customHeight="1" hidden="1">
      <c r="A59" s="435"/>
      <c r="B59" s="435"/>
      <c r="C59" s="435"/>
      <c r="D59" s="435"/>
      <c r="E59" s="435"/>
      <c r="F59" s="435"/>
      <c r="G59" s="435"/>
      <c r="H59" s="435"/>
      <c r="I59" s="435"/>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435"/>
      <c r="AK59" s="435"/>
      <c r="AL59" s="435"/>
      <c r="AM59" s="435"/>
      <c r="AN59" s="435"/>
      <c r="AO59" s="435"/>
      <c r="AP59" s="435"/>
      <c r="AQ59" s="435"/>
      <c r="AR59" s="435"/>
      <c r="AS59" s="422"/>
    </row>
    <row r="60" s="417" customFormat="1" ht="15" customHeight="1" hidden="1">
      <c r="A60" s="435"/>
      <c r="B60" s="435"/>
      <c r="C60" s="435"/>
      <c r="D60" s="435"/>
      <c r="E60" s="435"/>
      <c r="F60" s="435"/>
      <c r="G60" s="435"/>
      <c r="H60" s="435"/>
      <c r="I60" s="435"/>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435"/>
      <c r="AK60" s="435"/>
      <c r="AL60" s="435"/>
      <c r="AM60" s="435"/>
      <c r="AN60" s="435"/>
      <c r="AO60" s="435"/>
      <c r="AP60" s="435"/>
      <c r="AQ60" s="435"/>
      <c r="AR60" s="435"/>
      <c r="AS60" s="422"/>
    </row>
    <row r="61" s="417" customFormat="1" ht="12.75" customHeight="1" hidden="1">
      <c r="A61" s="435"/>
      <c r="B61" s="435"/>
      <c r="C61" s="435"/>
      <c r="D61" s="435"/>
      <c r="E61" s="435"/>
      <c r="F61" s="435"/>
      <c r="G61" s="435"/>
      <c r="H61" s="435"/>
      <c r="I61" s="435"/>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435"/>
      <c r="AK61" s="435"/>
      <c r="AL61" s="435"/>
      <c r="AM61" s="435"/>
      <c r="AN61" s="435"/>
      <c r="AO61" s="435"/>
      <c r="AP61" s="435"/>
      <c r="AQ61" s="435"/>
      <c r="AR61" s="435"/>
    </row>
    <row r="62" s="417" customFormat="1" ht="12.75" customHeight="1" hidden="1">
      <c r="A62" s="435"/>
      <c r="B62" s="435"/>
      <c r="C62" s="435"/>
      <c r="D62" s="435"/>
      <c r="E62" s="435"/>
      <c r="F62" s="435"/>
      <c r="G62" s="435"/>
      <c r="H62" s="435"/>
      <c r="I62" s="435"/>
      <c r="J62" s="435"/>
      <c r="K62" s="435"/>
      <c r="L62" s="435"/>
      <c r="M62" s="435"/>
      <c r="N62" s="435"/>
      <c r="O62" s="435"/>
      <c r="P62" s="435"/>
      <c r="Q62" s="435"/>
      <c r="R62" s="435"/>
      <c r="S62" s="435"/>
      <c r="T62" s="435"/>
      <c r="U62" s="435"/>
      <c r="V62" s="435"/>
      <c r="W62" s="435"/>
      <c r="X62" s="435"/>
      <c r="Y62" s="435"/>
      <c r="Z62" s="435"/>
      <c r="AA62" s="435"/>
      <c r="AB62" s="435"/>
      <c r="AC62" s="435"/>
      <c r="AD62" s="435"/>
      <c r="AE62" s="435"/>
      <c r="AF62" s="435"/>
      <c r="AG62" s="435"/>
      <c r="AH62" s="435"/>
      <c r="AI62" s="435"/>
      <c r="AJ62" s="435"/>
      <c r="AK62" s="435"/>
      <c r="AL62" s="435"/>
      <c r="AM62" s="435"/>
      <c r="AN62" s="435"/>
      <c r="AO62" s="435"/>
      <c r="AP62" s="435"/>
      <c r="AQ62" s="435"/>
      <c r="AR62" s="435"/>
    </row>
    <row r="63" s="417" customFormat="1" ht="12.75" customHeight="1" hidden="1">
      <c r="A63" s="435"/>
      <c r="B63" s="435"/>
      <c r="C63" s="435"/>
      <c r="D63" s="435"/>
      <c r="E63" s="435"/>
      <c r="F63" s="435"/>
      <c r="G63" s="435"/>
      <c r="H63" s="435"/>
      <c r="I63" s="435"/>
      <c r="J63" s="435"/>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435"/>
      <c r="AK63" s="435"/>
      <c r="AL63" s="435"/>
      <c r="AM63" s="435"/>
      <c r="AN63" s="435"/>
      <c r="AO63" s="435"/>
      <c r="AP63" s="435"/>
      <c r="AQ63" s="435"/>
      <c r="AR63" s="435"/>
    </row>
    <row r="64" s="417" customFormat="1" ht="12.75" customHeight="1" hidden="1">
      <c r="A64" s="435"/>
      <c r="B64" s="435"/>
      <c r="C64" s="435"/>
      <c r="D64" s="435"/>
      <c r="E64" s="435"/>
      <c r="F64" s="435"/>
      <c r="G64" s="435"/>
      <c r="H64" s="435"/>
      <c r="I64" s="435"/>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435"/>
      <c r="AK64" s="435"/>
      <c r="AL64" s="435"/>
      <c r="AM64" s="435"/>
      <c r="AN64" s="435"/>
      <c r="AO64" s="435"/>
      <c r="AP64" s="435"/>
      <c r="AQ64" s="435"/>
      <c r="AR64" s="435"/>
    </row>
    <row r="65" s="417" customFormat="1" ht="12.75" customHeight="1" hidden="1">
      <c r="A65" s="435"/>
      <c r="B65" s="435"/>
      <c r="C65" s="435"/>
      <c r="D65" s="435"/>
      <c r="E65" s="435"/>
      <c r="F65" s="435"/>
      <c r="G65" s="435"/>
      <c r="H65" s="435"/>
      <c r="I65" s="435"/>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435"/>
      <c r="AK65" s="435"/>
      <c r="AL65" s="435"/>
      <c r="AM65" s="435"/>
      <c r="AN65" s="435"/>
      <c r="AO65" s="435"/>
      <c r="AP65" s="435"/>
      <c r="AQ65" s="435"/>
      <c r="AR65" s="435"/>
    </row>
    <row r="66" s="417" customFormat="1" ht="12.75" customHeight="1" hidden="1">
      <c r="A66" s="435"/>
      <c r="B66" s="435"/>
      <c r="C66" s="435"/>
      <c r="D66" s="435"/>
      <c r="E66" s="435"/>
      <c r="F66" s="435"/>
      <c r="G66" s="435"/>
      <c r="H66" s="435"/>
      <c r="I66" s="435"/>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435"/>
      <c r="AK66" s="435"/>
      <c r="AL66" s="435"/>
      <c r="AM66" s="435"/>
      <c r="AN66" s="435"/>
      <c r="AO66" s="435"/>
      <c r="AP66" s="435"/>
      <c r="AQ66" s="435"/>
      <c r="AR66" s="435"/>
    </row>
    <row r="67" s="417" customFormat="1" ht="12.75" customHeight="1" hidden="1">
      <c r="A67" s="435"/>
      <c r="B67" s="435"/>
      <c r="C67" s="435"/>
      <c r="D67" s="435"/>
      <c r="E67" s="435"/>
      <c r="F67" s="435"/>
      <c r="G67" s="435"/>
      <c r="H67" s="435"/>
      <c r="I67" s="435"/>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435"/>
      <c r="AK67" s="435"/>
      <c r="AL67" s="435"/>
      <c r="AM67" s="435"/>
      <c r="AN67" s="435"/>
      <c r="AO67" s="435"/>
      <c r="AP67" s="435"/>
      <c r="AQ67" s="435"/>
      <c r="AR67" s="435"/>
    </row>
    <row r="68" s="417" customFormat="1" ht="12.75" customHeight="1" hidden="1">
      <c r="A68" s="435"/>
      <c r="B68" s="435"/>
      <c r="C68" s="435"/>
      <c r="D68" s="435"/>
      <c r="E68" s="435"/>
      <c r="F68" s="435"/>
      <c r="G68" s="435"/>
      <c r="H68" s="435"/>
      <c r="I68" s="435"/>
      <c r="J68" s="435"/>
      <c r="K68" s="435"/>
      <c r="L68" s="435"/>
      <c r="M68" s="435"/>
      <c r="N68" s="435"/>
      <c r="O68" s="435"/>
      <c r="P68" s="435"/>
      <c r="Q68" s="435"/>
      <c r="R68" s="435"/>
      <c r="S68" s="435"/>
      <c r="T68" s="435"/>
      <c r="U68" s="435"/>
      <c r="V68" s="435"/>
      <c r="W68" s="435"/>
      <c r="X68" s="435"/>
      <c r="Y68" s="435"/>
      <c r="Z68" s="435"/>
      <c r="AA68" s="435"/>
      <c r="AB68" s="435"/>
      <c r="AC68" s="435"/>
      <c r="AD68" s="435"/>
      <c r="AE68" s="435"/>
      <c r="AF68" s="435"/>
      <c r="AG68" s="435"/>
      <c r="AH68" s="435"/>
      <c r="AI68" s="435"/>
      <c r="AJ68" s="435"/>
      <c r="AK68" s="435"/>
      <c r="AL68" s="435"/>
      <c r="AM68" s="435"/>
      <c r="AN68" s="435"/>
      <c r="AO68" s="435"/>
      <c r="AP68" s="435"/>
      <c r="AQ68" s="435"/>
      <c r="AR68" s="435"/>
    </row>
    <row r="400" s="417" customFormat="1" ht="12.75" customHeight="1" hidden="1">
      <c r="A400" s="411">
        <v>43377</v>
      </c>
    </row>
    <row r="402" s="417" customFormat="1" ht="12.75" customHeight="1" hidden="1">
      <c r="A402" s="411">
        <v>42949</v>
      </c>
    </row>
    <row r="420" s="417" customFormat="1" ht="12.75" customHeight="1" hidden="1">
      <c r="A420" s="411">
        <v>42120</v>
      </c>
      <c r="B420" s="411"/>
      <c r="C420" s="411"/>
    </row>
    <row r="422" s="417" customFormat="1" ht="12.75" customHeight="1" hidden="1">
      <c r="A422" s="411">
        <v>42113</v>
      </c>
      <c r="B422" s="411"/>
      <c r="C422" s="411"/>
    </row>
    <row r="426" s="417" customFormat="1" ht="12.75" customHeight="1" hidden="1">
      <c r="A426" s="411">
        <v>42110</v>
      </c>
      <c r="B426" s="411"/>
      <c r="C426" s="411"/>
    </row>
    <row r="433" s="417" customFormat="1" ht="12.75" customHeight="1" hidden="1">
      <c r="A433" s="411">
        <v>42107</v>
      </c>
      <c r="B433" s="411"/>
      <c r="C433" s="411"/>
    </row>
    <row r="435" s="417" customFormat="1" ht="12.75" customHeight="1" hidden="1">
      <c r="A435" s="411">
        <v>42105</v>
      </c>
      <c r="B435" s="411"/>
      <c r="C435" s="411"/>
      <c r="D435" s="411"/>
    </row>
  </sheetData>
  <pageMargins left="0.75" right="0.75" top="1" bottom="1" header="0.5" footer="0.5"/>
  <pageSetup firstPageNumber="1" fitToHeight="1" fitToWidth="1" scale="100" useFirstPageNumber="0" orientation="landscape" pageOrder="downThenOver"/>
  <headerFooter>
    <oddFooter>&amp;L&amp;"Helvetica,Regular"&amp;12&amp;K000000	&amp;P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